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680" windowHeight="6555" tabRatio="622" activeTab="1"/>
  </bookViews>
  <sheets>
    <sheet name="calculation summary" sheetId="1" r:id="rId1"/>
    <sheet name="child support worksheet" sheetId="2" r:id="rId2"/>
    <sheet name="rebuttal worksheet" sheetId="3" r:id="rId3"/>
    <sheet name="scale table" sheetId="4" r:id="rId4"/>
    <sheet name="other tables" sheetId="5" r:id="rId5"/>
  </sheets>
  <definedNames>
    <definedName name="_xlfn.AGGREGATE" hidden="1">#NAME?</definedName>
    <definedName name="addch1" comment="Line1c - non-joint children">'child support worksheet'!$D$19</definedName>
    <definedName name="addch2" comment="Line1c - non-joint children">'child support worksheet'!$E$19</definedName>
    <definedName name="addchded1" comment="Line1g - deduction for non-joint children">'child support worksheet'!$D$24</definedName>
    <definedName name="addchded2" comment="Line1g - deduction for non-joint children">'child support worksheet'!$E$24</definedName>
    <definedName name="addcsamt1" comment="Line8c - amount to add to reach minimum order">'child support worksheet'!$D$83</definedName>
    <definedName name="addcsamt2" comment="Line8c - amount to add to reach minimum order ">'child support worksheet'!$E$83</definedName>
    <definedName name="adjusted1" comment="Line1h - adjusted income">'child support worksheet'!$D$25</definedName>
    <definedName name="adjusted2" comment="Line1h - adjusted income">'child support worksheet'!$E$25</definedName>
    <definedName name="adjustedC" comment="Line1h Total - combined adjusted income">'child support worksheet'!$F$26</definedName>
    <definedName name="agcashchg1" comment="Line10d - agreed cash cs for minor children">'child support worksheet'!$D$104</definedName>
    <definedName name="agcashchg2" comment="Line10d - agreed cash cs for minor children">'child support worksheet'!$E$104</definedName>
    <definedName name="agccsCASch1" comment="Line 10f - Agreed Cash Child Support for CAS">'child support worksheet'!$D$108</definedName>
    <definedName name="agccsCASch2" comment="Line 10f - Agreed Cash Child Support for CAS">'child support worksheet'!$E$108</definedName>
    <definedName name="agccsminorch1" comment="Line10d - agreed cash support for minor children">'child support worksheet'!$D$106</definedName>
    <definedName name="agccsminorch2" comment="Line10d - agreed cash support for minor children">'child support worksheet'!$E$106</definedName>
    <definedName name="agcmsCASch1" comment="Line 10g - Agreed CMS for CAS">'child support worksheet'!$D$109</definedName>
    <definedName name="agcmsCASch2" comment="Line 10g - Agreed CMS for CAS ">'child support worksheet'!$E$109</definedName>
    <definedName name="agcmsminorch1" comment="Line 10e - Agreed Cash Medicall Support for minor children">'child support worksheet'!$D$107</definedName>
    <definedName name="agcmsminorch2" comment="Line 10e - Agreed Cash Medicall Support for minor children">'child support worksheet'!$E$107</definedName>
    <definedName name="agreedpct1" comment="Line 10c - Adjust percent">'child support worksheet'!$D$105</definedName>
    <definedName name="agreedpct2" comment="Line 10c - Adjust percent">'child support worksheet'!$E$105</definedName>
    <definedName name="available1" comment="Line1j - income available for support">'child support worksheet'!$D$28</definedName>
    <definedName name="available2" comment="Line1j - income available for support">'child support worksheet'!$E$28</definedName>
    <definedName name="basicC" comment="Line2a - basic support amount for all joint children">'child support worksheet'!$F$32</definedName>
    <definedName name="basicSSR1" comment="Line2b - Basic support after self-support reserve">'child support worksheet'!$D$34</definedName>
    <definedName name="basicSSR2" comment="Line2b - Basic support after self-support reserve">'child support worksheet'!$E$34</definedName>
    <definedName name="Both_Can_Provide">'child support worksheet'!$I$49</definedName>
    <definedName name="Calc_Type" comment="This is to test the mirrored calc.">'child support worksheet'!$E$1</definedName>
    <definedName name="calctype" comment="minor, CAS, or both">'child support worksheet'!$G$77</definedName>
    <definedName name="cccoopcred1" comment="Line6d - child care cost credit">'child support worksheet'!$D$69</definedName>
    <definedName name="cccoopcred2" comment="Line6d - child care cost out of pocket credit">'child support worksheet'!$E$69</definedName>
    <definedName name="cccooptotal" comment="Line3cTotal - Line3a A+B+C">'child support worksheet'!$F$41</definedName>
    <definedName name="ccoop1" comment="Line3a - Child Care Costs Out of Pocket">'child support worksheet'!$D$38</definedName>
    <definedName name="ccoop2" comment="Line3a - Child Care Costs Out of Pocket">'child support worksheet'!$E$38</definedName>
    <definedName name="ccoopctr" comment="Line3a - Child Care Costs Out of Pocket">'child support worksheet'!$F$38</definedName>
    <definedName name="ccoopshare1" comment="Line3c - share of out of pocket child care costs">'child support worksheet'!$D$40</definedName>
    <definedName name="ccoopshare2" comment="Line3c - share of out of pocket child care costs">'child support worksheet'!$E$40</definedName>
    <definedName name="children" comment="Line1de - combined joint children">'child support worksheet'!$F$21:$F$21</definedName>
    <definedName name="cmeds1" comment="Line 5a - Cash medical support election">'child support worksheet'!$D$62</definedName>
    <definedName name="cmeds2" comment="LIne 5a - Cash medical support election">'child support worksheet'!$E$62</definedName>
    <definedName name="cmedsCASch1" comment="Line 9d - Cash Medical Support for CAS">'child support worksheet'!$D$95</definedName>
    <definedName name="cmedsCASch2" comment="Line 9d - Cash Medical Support for CAS">'child support worksheet'!$E$95</definedName>
    <definedName name="cmedsminorch1" comment="Line 9b - Cash Medical Support for minor children">'child support worksheet'!$D$93</definedName>
    <definedName name="cmedsminorch2" comment="Line 9b - Cash Medical Support for minor children">'child support worksheet'!$E$93</definedName>
    <definedName name="cmelection?" comment="Line5a election - yes/no/cont. for include cash medical?">'child support worksheet'!$D$60</definedName>
    <definedName name="cmsafterSS1">'child support worksheet'!$D$88</definedName>
    <definedName name="cmsafterSS2">'child support worksheet'!$E$88</definedName>
    <definedName name="compellingfactors?" comment="Line4e - Exceed RIC?">'child support worksheet'!$D$51</definedName>
    <definedName name="CSafterCCC1" comment="Line3d - Support after adding child care costs">'child support worksheet'!$D$42</definedName>
    <definedName name="CSafterCCC2" comment="Line3d - Support after adding child care costs">'child support worksheet'!$E$42</definedName>
    <definedName name="CSafterCredits1" comment="Line6g - Support after credits applied">'child support worksheet'!$D$71</definedName>
    <definedName name="CSafterCredits2" comment="Line6g - Support after credits applied">'child support worksheet'!$E$71</definedName>
    <definedName name="CSafterHCC1" comment="Line4i - Support obligation after adding HCC">'child support worksheet'!$D$56</definedName>
    <definedName name="CSafterHCC2" comment="Line4i - Support obligation after adding HCC">'child support worksheet'!$E$56</definedName>
    <definedName name="csCASch1" comment="Line 9c - Cash child support for CAS">'child support worksheet'!$D$94</definedName>
    <definedName name="csCASch2" comment="Line 9c - Cash child support for CAS">'child support worksheet'!$E$94</definedName>
    <definedName name="csminorch1" comment="Line 9a - Cash Child Support for minor children">'child support worksheet'!$D$92</definedName>
    <definedName name="csminorch2" comment="Line 9a - Cash Child Support for minor children">'child support worksheet'!$E$92</definedName>
    <definedName name="Either_Can_Provide">'child support worksheet'!$J$49</definedName>
    <definedName name="either_parent_when_available" comment="This is for comparison when neither parent providing.">'child support worksheet'!$N$49</definedName>
    <definedName name="exception1" comment="Line8b - Exception to Min order?">'child support worksheet'!$D$82</definedName>
    <definedName name="exception2" comment="Line8b - Exception to Min order?">'child support worksheet'!$E$82</definedName>
    <definedName name="HCCcred1" comment="Line6f - credit for HCC premiums">'child support worksheet'!$D$70</definedName>
    <definedName name="HCCcred2" comment="Line6f - credit for HCC premiums">'child support worksheet'!$E$70</definedName>
    <definedName name="hccpct1" comment="Line4g - parent's percentage share of HCC costs">'child support worksheet'!$D$54</definedName>
    <definedName name="hccpct2" comment="Line4g - parent's percentage share of HCC costs">'child support worksheet'!$E$54</definedName>
    <definedName name="hccshare1" comment="Line4h - share amount of HCC cost">'child support worksheet'!$D$55</definedName>
    <definedName name="hccshare2" comment="Line4h - share amount of HCC cost">'child support worksheet'!$E$55</definedName>
    <definedName name="HCCtotal" comment="Line4f Total - amount of HCC premiums ordered">'child support worksheet'!$F$53</definedName>
    <definedName name="incavailableccc1" comment="Line3b - Income available for Child Care Costs">'child support worksheet'!$D$39</definedName>
    <definedName name="incavailableccc2" comment="Line3b - Income available for Child Care Costs">'child support worksheet'!$E$39</definedName>
    <definedName name="incavailHCC1" comment="Line4b - Income available for HCC premiums">'child support worksheet'!$D$47</definedName>
    <definedName name="incavailHCC2" comment="Line4b - Income available for HCC Premium">'child support worksheet'!$E$47</definedName>
    <definedName name="income1" comment="Line1a - Gross Income">'child support worksheet'!$D$12</definedName>
    <definedName name="income2" comment="Line1a - Gross Income">'child support worksheet'!$E$12</definedName>
    <definedName name="incomeplusminus1" comment="Line1b5 - Income after additions and subtractions">'child support worksheet'!$D$18</definedName>
    <definedName name="incomeplusminus2" comment="Line1b5 - Income after additions and subtractions">'child support worksheet'!$E$18</definedName>
    <definedName name="incpct1" comment="Line1i - income share percentage">'child support worksheet'!$D$27</definedName>
    <definedName name="incpct2" comment="Line1i - income share percentage">'child support worksheet'!$E$27</definedName>
    <definedName name="jointCAS" comment="Line1e - number of joint Child Attending School">'child support worksheet'!$D$22</definedName>
    <definedName name="jointminorch" comment="Line1d - number of joint children">'child support worksheet'!$D$20</definedName>
    <definedName name="Maxperm1" comment="Line 10a - Maximum permitted change">'child support worksheet'!$D$103</definedName>
    <definedName name="Maxperm2" comment="Line 10a - Maximum permitted change">'child support worksheet'!$E$103</definedName>
    <definedName name="minorsbs1">'child support worksheet'!$D$75</definedName>
    <definedName name="minorsbs2">'child support worksheet'!$E$75</definedName>
    <definedName name="minsupadj1">'child support worksheet'!$D$76</definedName>
    <definedName name="minsupadj2">'child support worksheet'!$E$76</definedName>
    <definedName name="minwage" comment="Tables: Current Montly Minimum Wage">'other tables'!$C$5</definedName>
    <definedName name="nametest1">'child support worksheet'!$I$10</definedName>
    <definedName name="nametest2">'child support worksheet'!$I$11</definedName>
    <definedName name="Neither_Can_Provide">'child support worksheet'!$M$49</definedName>
    <definedName name="NoAgreedApplied" comment="Test values for True, False">'child support worksheet'!$G$105</definedName>
    <definedName name="P1_PHCC_OR_ZERO" comment="Minimum wage test for parent1.">'calculation summary'!$N$15</definedName>
    <definedName name="P1_RPHCC_OR_ZERO" comment="minimum wage test for parent 1 Rebuttal">'calculation summary'!$N$41</definedName>
    <definedName name="P2_PHCC_OR_ZERO" comment="minimum wage test for parent 2">'calculation summary'!$N$26</definedName>
    <definedName name="P2_RPHCC_OR_ZERO" comment="minimum wage test for parent 2 rebuttal.">'calculation summary'!$N$51</definedName>
    <definedName name="P2Title" comment="Paragraph title for Parent2">'calculation summary'!$B$23</definedName>
    <definedName name="Parent1CanProvide" comment="Side Note - boolean">'child support worksheet'!$K$46</definedName>
    <definedName name="Parent2CanProvide" comment="Side note - boolean">'child support worksheet'!$L$46</definedName>
    <definedName name="ParentA_Can_Provide">'child support worksheet'!$K$49</definedName>
    <definedName name="ParentB_Can_Provide">'child support worksheet'!$L$49</definedName>
    <definedName name="ParentBUnderlines" comment="False, True for Parent B underlines.">'calculation summary'!$N$22</definedName>
    <definedName name="parentpremium1" comment="Line1b4 - Parent's own HCC Premium">'child support worksheet'!$D$17</definedName>
    <definedName name="parentpremium2" comment="Line1b4 - Parent's own HCC Premium">'child support worksheet'!$E$17</definedName>
    <definedName name="Parentssscosts1" comment="Line Rcost3 - Parents' shares of special costs Parentssscosts2">'rebuttal worksheet'!$C$58</definedName>
    <definedName name="Parentssscosts2" comment="Line Rcost3 - Parents' shares of special costs ">'rebuttal worksheet'!$D$58</definedName>
    <definedName name="partytype1" comment="Line7a - Obligor?">'child support worksheet'!$D$77</definedName>
    <definedName name="partytype2" comment="Line7a - Obligor?">'child support worksheet'!$E$77</definedName>
    <definedName name="PHCC" comment="Line 9g - Private Health Care Coverage">'child support worksheet'!$D$98</definedName>
    <definedName name="pname1">'child support worksheet'!$D$10</definedName>
    <definedName name="pname2">'child support worksheet'!$E$10</definedName>
    <definedName name="premium1" comment="Line4a - HCC premium for children">'child support worksheet'!$D$46</definedName>
    <definedName name="premium2" comment="Line4a - HCC premium for children">'child support worksheet'!$E$46</definedName>
    <definedName name="_xlnm.Print_Area" localSheetId="0">'calculation summary'!$A$1:$J$55</definedName>
    <definedName name="_xlnm.Print_Area" localSheetId="1">'child support worksheet'!$A$6:$F$110</definedName>
    <definedName name="_xlnm.Print_Area" localSheetId="4">'other tables'!$A$1:$I$27</definedName>
    <definedName name="_xlnm.Print_Area" localSheetId="2">'rebuttal worksheet'!$A$4:$E$145</definedName>
    <definedName name="_xlnm.Print_Titles" localSheetId="3">'scale table'!$B:$B,'scale table'!$3:$8</definedName>
    <definedName name="PrivateHCC" comment="Line 9f - Private HCC">'child support worksheet'!$D$97</definedName>
    <definedName name="ptcred1" comment="Line6c - parenting time credit amt">'child support worksheet'!$D$68</definedName>
    <definedName name="ptcred2" comment="Line6c - parenting time credit amt">'child support worksheet'!$E$68</definedName>
    <definedName name="ptcredpct1" comment="Line6b - parenting time credit percentage">'child support worksheet'!$D$67</definedName>
    <definedName name="ptcredpct2" comment="Line6b - parenting time credit percentage">'child support worksheet'!$E$67</definedName>
    <definedName name="ptctr" comment="Line6a - parenting time">'child support worksheet'!$F$66</definedName>
    <definedName name="ptime1" comment="Line 6a - Parenting time">'child support worksheet'!$D$66</definedName>
    <definedName name="ptime2" comment="Line 6a - Parenting time">'child support worksheet'!$E$66</definedName>
    <definedName name="ptype1">'child support worksheet'!$D$11</definedName>
    <definedName name="ptype2">'child support worksheet'!$E$11</definedName>
    <definedName name="R_Both_Can_Provide">'rebuttal worksheet'!$L$68</definedName>
    <definedName name="R_Either_Can_Provide">'rebuttal worksheet'!$H$68</definedName>
    <definedName name="R_either_parent_when_available" comment="This is for comparison when neither parent providing.">'rebuttal worksheet'!$M$68</definedName>
    <definedName name="R_ParentA_Can_Provide">'rebuttal worksheet'!$J$68</definedName>
    <definedName name="R_ParentB_Can_Provide">'rebuttal worksheet'!$K$68</definedName>
    <definedName name="Raddcsamt1" comment="Line R8c - Amount needed to meet minimum order Raddcsamt2">'rebuttal worksheet'!$C$102</definedName>
    <definedName name="Raddcsamt2" comment="Line R8c - Amount needed to meet minimum order ">'rebuttal worksheet'!$D$102</definedName>
    <definedName name="RadjccsCAS1" comment="Line R10e - Adjustment to cash child support for CAS">'rebuttal worksheet'!$C$124</definedName>
    <definedName name="RadjccsCAS2" comment="Line R10e - Adjustment to cash child support for CAS ">'rebuttal worksheet'!$D$124</definedName>
    <definedName name="Radjccsminorch1" comment="Line R10a - Adjustment to cash child support for minor children">'rebuttal worksheet'!$C$120</definedName>
    <definedName name="Radjccsminorch2" comment="Line R10a - Adjustment to cash child support for minor children">'rebuttal worksheet'!$D$120</definedName>
    <definedName name="RadjcmsCAS1" comment="Line R10g - Adjustment to cms for CAS">'rebuttal worksheet'!$C$126</definedName>
    <definedName name="RadjcmsCAS2" comment="Line R10g - Adjustment to cms for CAS">'rebuttal worksheet'!$D$126</definedName>
    <definedName name="Radjcmsminorch1" comment="Line R10c - Adjustment to cash medical support for minor children">'rebuttal worksheet'!$C$122</definedName>
    <definedName name="Radjcmsminorch2" comment="Line R10c - Adjustment to cash medical support for minor children">'rebuttal worksheet'!$D$122</definedName>
    <definedName name="Radjusted1" comment="Line R1h - Adjusted income">'rebuttal worksheet'!$C$31</definedName>
    <definedName name="Radjusted2" comment="Line R1h - Adjusted income">'rebuttal worksheet'!$D$31</definedName>
    <definedName name="RadjustedC">'rebuttal worksheet'!$E$32</definedName>
    <definedName name="RadjustedccsCAS1" comment="Line R10f - Adjusted cash child support for Children Attending School">'rebuttal worksheet'!$C$125</definedName>
    <definedName name="RadjustedccsCAS2" comment="Line R10f - Adjusted cash child support for Children Attending School">'rebuttal worksheet'!$D$125</definedName>
    <definedName name="Radjustedccsminorch1" comment="Line R10b - Adjusted cash child support for minor children">'rebuttal worksheet'!$C$121</definedName>
    <definedName name="Radjustedccsminorch2" comment="Line R10b - Adjusted cash child support for minor children">'rebuttal worksheet'!$D$121</definedName>
    <definedName name="RadjustedcmsCAS1" comment="Line R10h - Adjusted cash medical support for Children Attending School">'rebuttal worksheet'!$C$127</definedName>
    <definedName name="RadjustedcmsCAS2" comment="Line R10h - Adjusted cash medical support for Children Attending School">'rebuttal worksheet'!$D$127</definedName>
    <definedName name="Radjustedcmsminorch1" comment="Line R10d - Adjusted cash medical support for minor children">'rebuttal worksheet'!$C$123</definedName>
    <definedName name="Radjustedcmsminorch2" comment="Line R10d - Adjusted cash medical support for minor children">'rebuttal worksheet'!$D$123</definedName>
    <definedName name="Ragcashchg1" comment="Line R11b - Amount of agreed change to child support obligation">'rebuttal worksheet'!$C$138</definedName>
    <definedName name="Ragcashchg2" comment="Line R11b - Amount of agreed change to child support obligation">'rebuttal worksheet'!$D$138</definedName>
    <definedName name="RagccsCASch1" comment="Line R11f - Agreed cash child support obligation for Children Attending School">'rebuttal worksheet'!$C$142</definedName>
    <definedName name="RagccsCASch2" comment="Line R11f - Agreed cash child support obligation for Children Attending School">'rebuttal worksheet'!$D$142</definedName>
    <definedName name="Ragccsminorch1" comment="Line R11d - Agreed cash child support obligation for minor children">'rebuttal worksheet'!$C$140</definedName>
    <definedName name="Ragccsminorch2" comment="Line R11d - Agreed cash child support obligation for minor children">'rebuttal worksheet'!$D$140</definedName>
    <definedName name="RagcmsCASch1" comment="Line R11g - Agreed cash medical support obligation for Children Attending School">'rebuttal worksheet'!$C$143</definedName>
    <definedName name="RagcmsCASch2" comment="Line R11g - Agreed cash medical support obligation for Children Attending School">'rebuttal worksheet'!$D$143</definedName>
    <definedName name="Ragcmsminorch1" comment="Line R11e - Agreed cash medical support obligation for minor children">'rebuttal worksheet'!$C$141</definedName>
    <definedName name="Ragcmsminorch2" comment="Line R11e - Agreed cash medical support obligation for minor children">'rebuttal worksheet'!$D$141</definedName>
    <definedName name="Ragreedpct1" comment="Line R11c - Actual percentage change">'rebuttal worksheet'!$C$139</definedName>
    <definedName name="Ragreedpct2" comment="Line R11c - Actual percentage change">'rebuttal worksheet'!$D$139</definedName>
    <definedName name="RbasicC" comment="Line R2a - Basic support obligation for all joint children (from obligation scale) total">'rebuttal worksheet'!$E$38</definedName>
    <definedName name="RbasicSSR1" comment="Line R2b - Basic support obligation after self-support reserve">'rebuttal worksheet'!$C$40</definedName>
    <definedName name="RbasicSSR2" comment="Line R2b - Basic support obligation after self-support reserve">'rebuttal worksheet'!$D$40</definedName>
    <definedName name="Rcalctype" comment="minor, CAS, or both">'rebuttal worksheet'!$F$94</definedName>
    <definedName name="Rcccoopcred1" comment="Line R6d - Child care credit">'rebuttal worksheet'!$C$87</definedName>
    <definedName name="Rcccoopcred2" comment="Line R6d - Child care credit ">'rebuttal worksheet'!$D$87</definedName>
    <definedName name="Rcccooptotal" comment="Line R3c - Parents' shares of child care costs">'rebuttal worksheet'!$E$47</definedName>
    <definedName name="Rccoop1" comment="Line R3a - Child care costs for joint children under 13 or disabled">'rebuttal worksheet'!$C$44</definedName>
    <definedName name="Rccoop2" comment="Line R3a - Child care costs for joint children under 13 or disabled">'rebuttal worksheet'!$D$44</definedName>
    <definedName name="Rccoopctr" comment="Line R3a - Child care costs for joint children under 13 or disabled ">'rebuttal worksheet'!$E$44</definedName>
    <definedName name="Rccoopshare1" comment="Line R3c - Parents' shares of child care costs">'rebuttal worksheet'!$C$46</definedName>
    <definedName name="Rccoopshare2" comment="Line R3c - Parents' shares of child care costs">'rebuttal worksheet'!$D$46</definedName>
    <definedName name="Rcmeds1" comment="Line R5a - Cash medical support election and amount">'rebuttal worksheet'!$C$80</definedName>
    <definedName name="Rcmeds2" comment="Line R5a - Cash medical support election and amount ">'rebuttal worksheet'!$D$80</definedName>
    <definedName name="Rcmedsminorch1" comment="Line R9b - Cash medical support for minor children">'rebuttal worksheet'!$C$111</definedName>
    <definedName name="Rcmedsminorch2" comment="Line R9b - Cash medical support for minor children ">'rebuttal worksheet'!$D$111</definedName>
    <definedName name="Rcmelection?" comment="Line R5a - Cash medical support election and amount ">'rebuttal worksheet'!$C$78</definedName>
    <definedName name="RcmsafterSS1">'rebuttal worksheet'!$C$107</definedName>
    <definedName name="RcmsafterSS2">'rebuttal worksheet'!$D$107</definedName>
    <definedName name="RcmsCAS1" comment="Line R9d - Cash medical support for Children Attending School">'rebuttal worksheet'!$C$113</definedName>
    <definedName name="RcmsCAS2" comment="Line R9d - Cash medical support for Children Attending School">'rebuttal worksheet'!$D$113</definedName>
    <definedName name="Rcompellingfactors?" comment="Line R4e - Exceed RIC?">'rebuttal worksheet'!$C$69</definedName>
    <definedName name="Rcredspeccosts1" comment="Line Rcost5 - Credit for special costs">'rebuttal worksheet'!$C$88</definedName>
    <definedName name="Rcredspeccosts2" comment="Line Rcost5 - Credit for special costs ">'rebuttal worksheet'!$D$88</definedName>
    <definedName name="RCSafterCCC1" comment="Line R3d - Support obligation after adding child care costs">'rebuttal worksheet'!$C$48</definedName>
    <definedName name="RCSafterCCC2" comment="Line R3d - Support obligation after adding child care costs">'rebuttal worksheet'!$D$48</definedName>
    <definedName name="RCSafterCredits1" comment="Line R6g - Support after credits">'rebuttal worksheet'!$C$90</definedName>
    <definedName name="RCSafterCredits2" comment="Line R6g - Support after credits">'rebuttal worksheet'!$D$90</definedName>
    <definedName name="RCSafterHCC1" comment="Line R4i - Support obligation after adding health care coverage costs">'rebuttal worksheet'!$C$74</definedName>
    <definedName name="RCSafterHCC2" comment="Line R4i - Support obligation after adding health care coverage costs ">'rebuttal worksheet'!$D$74</definedName>
    <definedName name="RcsCASch1" comment="Line R9c - Cash child support for Children Attending School">'rebuttal worksheet'!$C$112</definedName>
    <definedName name="RcsCASch2" comment="Line R9c - Cash child support for Children Attending School">'rebuttal worksheet'!$D$112</definedName>
    <definedName name="Rcsminorch1" comment="Line R9a - Cash child support for minor children">'rebuttal worksheet'!$C$110</definedName>
    <definedName name="Rcsminorch2" comment="Line R9a - Cash child support for minor children ">'rebuttal worksheet'!$D$110</definedName>
    <definedName name="REBUTTALTITLE" comment="Rebuttal title on summary page">'calculation summary'!$A$32</definedName>
    <definedName name="remredcms1">'child support worksheet'!$D$87</definedName>
    <definedName name="remredcms2">'child support worksheet'!$E$87</definedName>
    <definedName name="Rexception1" comment="Line R8b - Is there an exception to the minimum order presumption?">'rebuttal worksheet'!$C$101</definedName>
    <definedName name="Rexception2" comment="Line R8b - Is there an exception to the minimum order presumption? ">'rebuttal worksheet'!$D$101</definedName>
    <definedName name="RHCCcred1" comment="Line R6f - Credit for health care coverage costs">'rebuttal worksheet'!$C$89</definedName>
    <definedName name="RHCCcred2" comment="Line R6f - Credit for health care coverage costs">'rebuttal worksheet'!$D$89</definedName>
    <definedName name="Rhccpct1" comment="Line R4g - Parents' percentage share-of health care coverage">'rebuttal worksheet'!$C$72</definedName>
    <definedName name="Rhccpct2" comment="Line R4g - Parents' percentage share-of health care coverage costs ">'rebuttal worksheet'!$D$72</definedName>
    <definedName name="Rhccshare1" comment="Line R4h - Each parent's share of health care coverage costs">'rebuttal worksheet'!$C$73</definedName>
    <definedName name="Rhccshare2" comment="Line R4h - Each parent's share of health care coverage costs">'rebuttal worksheet'!$D$73</definedName>
    <definedName name="RHCCtotal" comment="Line R4f - Who will provide health care coverage? ">'rebuttal worksheet'!$E$71</definedName>
    <definedName name="ricTotal" comment="Line4c - reasonable cost for HCC">'child support worksheet'!$F$49</definedName>
    <definedName name="Rinc1" comment="Line Rinc - Adjustment to income in support of rebuttal (+/-)">'rebuttal worksheet'!$C$26</definedName>
    <definedName name="Rinc2" comment="Line Rinc - Adjustment to income in support of rebuttal (+/-)">'rebuttal worksheet'!$D$26</definedName>
    <definedName name="Rincavailableccc1" comment="Line R3b - Income available for child care costs">'rebuttal worksheet'!$C$45</definedName>
    <definedName name="Rincavailableccc2" comment="Line R3b - Income available for child care costs ">'rebuttal worksheet'!$D$45</definedName>
    <definedName name="RincavailHCC1" comment="Line R4b - Income available for health care coverage">'rebuttal worksheet'!$C$65</definedName>
    <definedName name="RincavailHCC2" comment="Line R4b - Income available for health care coverage ">'rebuttal worksheet'!$D$65</definedName>
    <definedName name="Rincavailspeccosts1" comment="Line Rcost2 - Income available for special costs">'rebuttal worksheet'!$C$57</definedName>
    <definedName name="Rincavailspeccosts2" comment="Line Rcost2 - Income available for special costs ">'rebuttal worksheet'!$D$57</definedName>
    <definedName name="Rincavailsupport1" comment="Line R1j - Rebuttal income available for support">'rebuttal worksheet'!$C$34</definedName>
    <definedName name="Rincavailsupport2" comment="Line R1j - Rebuttal income available for support ">'rebuttal worksheet'!$D$34</definedName>
    <definedName name="Rincomeplusminus1" comment="Line R1b - Income after additions and subtractions">'rebuttal worksheet'!$C$19</definedName>
    <definedName name="Rincomeplusminus2" comment="Line R1b - Income after additions and subtractions ">'rebuttal worksheet'!$D$19</definedName>
    <definedName name="rincost1" comment="Line 4c - Reasonable cost for HCC">'child support worksheet'!$D$48</definedName>
    <definedName name="rincost2" comment="Line 4c - Reasonable cost for HCC">'child support worksheet'!$E$48</definedName>
    <definedName name="Rincpct1" comment="Line R1i - Each parent's income share percentage Rincpct2">'rebuttal worksheet'!$C$33</definedName>
    <definedName name="Rincpct2" comment="Line R1i - Each parent's income share percentage">'rebuttal worksheet'!$D$33</definedName>
    <definedName name="Rmaxperm1" comment="Line R11a - Maximum permitted change">'rebuttal worksheet'!$C$137</definedName>
    <definedName name="Rmaxperm2" comment="Line R11a - Maximum permitted change">'rebuttal worksheet'!$D$137</definedName>
    <definedName name="Rminorsbs1">'rebuttal worksheet'!$C$94</definedName>
    <definedName name="Rminorsbs2">'rebuttal worksheet'!$D$94</definedName>
    <definedName name="Rminsupadj1">'rebuttal worksheet'!$C$95</definedName>
    <definedName name="Rminsupadj2">'rebuttal worksheet'!$D$95</definedName>
    <definedName name="RNoAgreedApplied" comment="Test values for True, False">'rebuttal worksheet'!$F$138</definedName>
    <definedName name="RParentAUnderlines" comment="The True, False Rebuttal underlines.">'calculation summary'!$N$36</definedName>
    <definedName name="RParentBUnderlines" comment="The False, True underlines for Parent 2">'calculation summary'!$N$46</definedName>
    <definedName name="Rpartytype1" comment="Line R7a - Obligor?">'rebuttal worksheet'!$C$96</definedName>
    <definedName name="Rpartytype2" comment="Line R7a - Obligor?">'rebuttal worksheet'!$D$96</definedName>
    <definedName name="RPHCC" comment="Line R9g - Reasonable cost for health care coverage.">'rebuttal worksheet'!$C$116</definedName>
    <definedName name="Rphccric?1">'rebuttal worksheet'!$K$65</definedName>
    <definedName name="Rphccric?2">'rebuttal worksheet'!$L$65</definedName>
    <definedName name="Rpremium1" comment="Line R4a - Health care coverage costs for joint children Rpremium2">'rebuttal worksheet'!$C$64</definedName>
    <definedName name="Rpremium2" comment="Line R4a - Health care coverage costs for joint children ">'rebuttal worksheet'!$D$64</definedName>
    <definedName name="RPrivateHCC" comment="Line R9f - Private health care coverage.">'rebuttal worksheet'!$C$115</definedName>
    <definedName name="Rptcred1" comment="Line R6c - Parenting time credit for joint minor children Rptcred2">'rebuttal worksheet'!$C$86</definedName>
    <definedName name="Rptcred2" comment="Line R6c - Parenting time credit for joint minor children">'rebuttal worksheet'!$D$86</definedName>
    <definedName name="Rptcredpct1" comment="Line R6b - Parenting time credit percentage">'rebuttal worksheet'!$C$85</definedName>
    <definedName name="Rptcredpct2" comment="Line R6b - Parenting time credit percentage">'rebuttal worksheet'!$D$85</definedName>
    <definedName name="Rptctr" comment="Line R6a - Average number of overnights (or equivalent) ">'rebuttal worksheet'!$E$84</definedName>
    <definedName name="Rptime1" comment="Line R6a - Average number of overnights (or equivalent)">'rebuttal worksheet'!$C$84</definedName>
    <definedName name="Rptime2" comment="Line R6a - Average number of overnights (or equivalent) ">'rebuttal worksheet'!$D$84</definedName>
    <definedName name="Rremredcms1">'rebuttal worksheet'!$C$106</definedName>
    <definedName name="Rremredcms2">'rebuttal worksheet'!$D$106</definedName>
    <definedName name="Rric1" comment="Line R4c - Reasonable cost for HCC">'rebuttal worksheet'!$C$66</definedName>
    <definedName name="Rric2" comment="Line R4c - Reasonable cost for HCC">'rebuttal worksheet'!$D$66</definedName>
    <definedName name="Rsnccc1">'rebuttal worksheet'!$C$54</definedName>
    <definedName name="Rsnccc2">'rebuttal worksheet'!$D$54</definedName>
    <definedName name="Rssavabene1" comment="Line R6e - Credit for Social Security or veterans' benefits">'rebuttal worksheet'!$C$104</definedName>
    <definedName name="Rssavabene2" comment="Line R6e - Credit for Social Security or veterans' benefits">'rebuttal worksheet'!$D$104</definedName>
    <definedName name="Rtotaladjcs1" comment="Line R10i - Total adjusted child support Rtotalajdcs1">'rebuttal worksheet'!$C$128</definedName>
    <definedName name="Rtotaladjcs2" comment="Line R10i - Total adjusted child support">'rebuttal worksheet'!$D$128</definedName>
    <definedName name="Rtotalagcs1" comment="Line R11h - Total agreed child support">'rebuttal worksheet'!$C$144</definedName>
    <definedName name="Rtotalagcs2" comment="Line R11h - Total agreed child support">'rebuttal worksheet'!$D$144</definedName>
    <definedName name="RTotalCSafterminord1" comment="Line R8d - Support obligation after minimum order">'rebuttal worksheet'!$C$103</definedName>
    <definedName name="RTotalCSafterminord2" comment="Line R8d - Support obligation after minimum order">'rebuttal worksheet'!$D$103</definedName>
    <definedName name="RTotalCSafterSSV1">'rebuttal worksheet'!$C$105</definedName>
    <definedName name="RTotalCSafterSSV2">'rebuttal worksheet'!$D$105</definedName>
    <definedName name="RTotalCSbeforeminord1" comment="Line R8a - Total support payment obligation, including medical support">'rebuttal worksheet'!$C$100</definedName>
    <definedName name="RTotalCSbeforeminord2" comment="Line R8a - Total support payment obligation, including medical support">'rebuttal worksheet'!$D$100</definedName>
    <definedName name="RtotalRIC" comment="Line R4c - Reasonable cost for HCC">'rebuttal worksheet'!$E$67</definedName>
    <definedName name="RWhoRIC" comment="Line R4d - Whose coverage is available at a reasonable cost">'rebuttal worksheet'!$C$68</definedName>
    <definedName name="RWhoWillProvide" comment="Line R4f - Who will provide HCC">'rebuttal worksheet'!$C$70</definedName>
    <definedName name="scale">'scale table'!$B$9:$L$589</definedName>
    <definedName name="Selected_Rebuttals" comment="Selected Rebuttals (1)(a-q) list.">'other tables'!$B$9:$B$26</definedName>
    <definedName name="Speccostspaid1" comment="Line Rcost1 - Special costs paid by a parent or caretaker">'rebuttal worksheet'!$C$52</definedName>
    <definedName name="Speccostspaid2" comment="Line Rcost1 - Special costs paid by a parent or caretaker">'rebuttal worksheet'!$D$52</definedName>
    <definedName name="Speccostspaidctr" comment="Line Rcost1 - Special costs paid by a parent or caretaker ">'rebuttal worksheet'!$E$52</definedName>
    <definedName name="spousalminus1" comment="Line1b2 - minus spousal support ">'child support worksheet'!$D$15</definedName>
    <definedName name="spousalminus2" comment="Line1b2 - minus spousal support ">'child support worksheet'!$E$15</definedName>
    <definedName name="spousalplus1" comment="Line1b1 - plus spousal support ">'child support worksheet'!$D$14</definedName>
    <definedName name="spousalplus2" comment="Line1b1 - plus spousal support ">'child support worksheet'!$E$14</definedName>
    <definedName name="ssavabene1" comment="Line6e - Social Security or VA benefits">'child support worksheet'!$D$85</definedName>
    <definedName name="ssavabene2" comment="Line6e - Social Security or VA benefits">'child support worksheet'!$E$85</definedName>
    <definedName name="SSR" comment="Tables: self support reserve amount">'other tables'!$F$4</definedName>
    <definedName name="Suppminch" comment="Support for the minor children">'calculation summary'!$J$12</definedName>
    <definedName name="Suppoblafterspeccosts1" comment="Line Rcost4 - Support obligation after adding special costs">'rebuttal worksheet'!$C$60</definedName>
    <definedName name="Suppoblafterspeccosts2" comment="Line Rcost4 - Support obligation after adding special costs ">'rebuttal worksheet'!$D$60</definedName>
    <definedName name="totalagcs1" comment="Line 10h - Total agreed chld support">'child support worksheet'!$D$110</definedName>
    <definedName name="totalagcs2" comment="Line 10h - Total agreed child support ">'child support worksheet'!$E$110</definedName>
    <definedName name="totalch1" comment="Line1f - total number of children">'child support worksheet'!$D$23</definedName>
    <definedName name="totalch2" comment="Line1f - total number of children">'child support worksheet'!$E$23</definedName>
    <definedName name="totalCS1" comment="Line9f - total support">'child support worksheet'!$D$96</definedName>
    <definedName name="totalCS2" comment="Line9f - total support">'child support worksheet'!$E$96</definedName>
    <definedName name="TotalCSafterminord1" comment="Line8d - Support obligation after min order applied">'child support worksheet'!$D$84</definedName>
    <definedName name="TotalCSafterminord2" comment="Line8d - Support obligation after min order applied">'child support worksheet'!$E$84</definedName>
    <definedName name="TotalCSafterSSV1">'child support worksheet'!$D$86</definedName>
    <definedName name="TotalCSafterSSV2">'child support worksheet'!$E$86</definedName>
    <definedName name="TotalCSbeforeminord1" comment="Line8a - Total support including medical">'child support worksheet'!$D$81</definedName>
    <definedName name="TotalCSbeforeminord2" comment="Line8a - Total support including medical ">'child support worksheet'!$E$81</definedName>
    <definedName name="totalparentssscosts" comment="Line Rcost3 - Total of the parents' shares of special costs">'rebuttal worksheet'!$E$59</definedName>
    <definedName name="uniondues1" comment="Line1b3 - union dues">'child support worksheet'!$D$16</definedName>
    <definedName name="uniondues2" comment="Line1b3 - union dues">'child support worksheet'!$E$16</definedName>
    <definedName name="WhoRIC" comment="Line4d - Whose coverage is available at reasonable cost">'child support worksheet'!$D$50</definedName>
    <definedName name="WhoWillProvide" comment="Line4f - who is chosen to provide HCC">'child support worksheet'!$D$52</definedName>
  </definedNames>
  <calcPr fullCalcOnLoad="1"/>
</workbook>
</file>

<file path=xl/sharedStrings.xml><?xml version="1.0" encoding="utf-8"?>
<sst xmlns="http://schemas.openxmlformats.org/spreadsheetml/2006/main" count="424" uniqueCount="372">
  <si>
    <t>Support obligation table</t>
  </si>
  <si>
    <t>Combined adjusted income equal to or greater than</t>
  </si>
  <si>
    <t>number of children</t>
  </si>
  <si>
    <t>1a</t>
  </si>
  <si>
    <t>2a</t>
  </si>
  <si>
    <t>3a</t>
  </si>
  <si>
    <t>3b</t>
  </si>
  <si>
    <t>4a</t>
  </si>
  <si>
    <t>4b</t>
  </si>
  <si>
    <t>6a</t>
  </si>
  <si>
    <t>7a</t>
  </si>
  <si>
    <t>8a</t>
  </si>
  <si>
    <t>9a</t>
  </si>
  <si>
    <t>5a</t>
  </si>
  <si>
    <t>10a</t>
  </si>
  <si>
    <t>10b</t>
  </si>
  <si>
    <t>10c</t>
  </si>
  <si>
    <t>10d</t>
  </si>
  <si>
    <t>2b</t>
  </si>
  <si>
    <t>1b</t>
  </si>
  <si>
    <t>1c</t>
  </si>
  <si>
    <t>1d</t>
  </si>
  <si>
    <t>1e</t>
  </si>
  <si>
    <t>1f</t>
  </si>
  <si>
    <t>4c</t>
  </si>
  <si>
    <t>4d</t>
  </si>
  <si>
    <t>4e</t>
  </si>
  <si>
    <t>4f</t>
  </si>
  <si>
    <t>4g</t>
  </si>
  <si>
    <t>6b</t>
  </si>
  <si>
    <t>6c</t>
  </si>
  <si>
    <t>9b</t>
  </si>
  <si>
    <t>9c</t>
  </si>
  <si>
    <t>9d</t>
  </si>
  <si>
    <t>4h</t>
  </si>
  <si>
    <t>1. INCOME</t>
  </si>
  <si>
    <t>Income</t>
  </si>
  <si>
    <t>Rinc</t>
  </si>
  <si>
    <t>Income after additions and subtractions</t>
  </si>
  <si>
    <t>4i</t>
  </si>
  <si>
    <t>R1a</t>
  </si>
  <si>
    <t>R1b</t>
  </si>
  <si>
    <t>R1c</t>
  </si>
  <si>
    <t>R1d</t>
  </si>
  <si>
    <t>R1e</t>
  </si>
  <si>
    <t>Year</t>
  </si>
  <si>
    <t>Hourly</t>
  </si>
  <si>
    <t>Monthly</t>
  </si>
  <si>
    <t>Self-support reserve</t>
  </si>
  <si>
    <t>Amount</t>
  </si>
  <si>
    <t xml:space="preserve">Additions and subtractions </t>
  </si>
  <si>
    <t>OAR 137-050-0700 to 137-050-0765</t>
  </si>
  <si>
    <t>CHILD SUPPORT WORKSHEET</t>
  </si>
  <si>
    <t>Add spousal support owed to the parent by anyone.</t>
  </si>
  <si>
    <t>Subtract spousal support the parent owes to anyone.</t>
  </si>
  <si>
    <t>Subtract mandatory union dues.</t>
  </si>
  <si>
    <t>Subtract cost of the parent's own health insurance.</t>
  </si>
  <si>
    <t>1g</t>
  </si>
  <si>
    <t>1h</t>
  </si>
  <si>
    <t>1i</t>
  </si>
  <si>
    <t>1j</t>
  </si>
  <si>
    <t>2. BASIC SUPPORT OBLIGATION</t>
  </si>
  <si>
    <t>3. CHILD CARE COSTS</t>
  </si>
  <si>
    <t>3c</t>
  </si>
  <si>
    <t>3d</t>
  </si>
  <si>
    <t>6d</t>
  </si>
  <si>
    <t>6e</t>
  </si>
  <si>
    <t>6f</t>
  </si>
  <si>
    <t>8b</t>
  </si>
  <si>
    <t>8c</t>
  </si>
  <si>
    <t>8d</t>
  </si>
  <si>
    <t>9. FINAL SUPPORT AMOUNTS AND MEDICAL SUPPORT PROVISIONS</t>
  </si>
  <si>
    <t>9e</t>
  </si>
  <si>
    <t>9f</t>
  </si>
  <si>
    <t>Amount of agreed change to child support obligation (+/-)</t>
  </si>
  <si>
    <t>10e</t>
  </si>
  <si>
    <t>10f</t>
  </si>
  <si>
    <t>10g</t>
  </si>
  <si>
    <t>10h</t>
  </si>
  <si>
    <t>4. HEALTH CARE COVERAGE</t>
  </si>
  <si>
    <t>5. CASH MEDICAL SUPPORT</t>
  </si>
  <si>
    <t>6. CREDITS</t>
  </si>
  <si>
    <t>CHILD SUPPORT REBUTTAL WORKSHEET</t>
  </si>
  <si>
    <t>OAR 137-050-0760</t>
  </si>
  <si>
    <t>R1. INCOME</t>
  </si>
  <si>
    <t>Additions and subtractions</t>
  </si>
  <si>
    <t>R1f</t>
  </si>
  <si>
    <t>R1g</t>
  </si>
  <si>
    <t>RincR</t>
  </si>
  <si>
    <r>
      <t xml:space="preserve">Number of non-joint children
</t>
    </r>
    <r>
      <rPr>
        <sz val="11"/>
        <rFont val="Arial"/>
        <family val="2"/>
      </rPr>
      <t>Enter the number of non-joint children for each parent.</t>
    </r>
  </si>
  <si>
    <r>
      <t xml:space="preserve">Number of joint Children Attending School age 18 to 20
</t>
    </r>
    <r>
      <rPr>
        <sz val="11"/>
        <rFont val="Arial"/>
        <family val="2"/>
      </rPr>
      <t>Exclude 18-year-olds attending high school and living with a parent.</t>
    </r>
  </si>
  <si>
    <r>
      <t xml:space="preserve">Total number of children
</t>
    </r>
    <r>
      <rPr>
        <sz val="11"/>
        <rFont val="Arial"/>
        <family val="2"/>
      </rPr>
      <t>Add the number of non-joint children (line R1c), the joint minor children (line R1d), and the joint Children Attending School (line R1e) for each parent.</t>
    </r>
  </si>
  <si>
    <t>R1h</t>
  </si>
  <si>
    <t>R1i</t>
  </si>
  <si>
    <r>
      <t xml:space="preserve">Each parent's income share percentage
</t>
    </r>
    <r>
      <rPr>
        <sz val="11"/>
        <rFont val="Arial"/>
        <family val="2"/>
      </rPr>
      <t>Each parent's adjusted income (line R1h) divided by the total.</t>
    </r>
  </si>
  <si>
    <t>R1j</t>
  </si>
  <si>
    <t>R2. BASIC SUPPORT OBLIGATION</t>
  </si>
  <si>
    <t>total</t>
  </si>
  <si>
    <t>R2a</t>
  </si>
  <si>
    <t>R2b</t>
  </si>
  <si>
    <t>R3. CHILD CARE COSTS</t>
  </si>
  <si>
    <t>R3a</t>
  </si>
  <si>
    <r>
      <t xml:space="preserve">Child care costs for joint children under 13 or disabled
</t>
    </r>
    <r>
      <rPr>
        <sz val="11"/>
        <rFont val="Arial"/>
        <family val="2"/>
      </rPr>
      <t>Enter the cost in the column of the parent or caretaker paying the cost. Costs may not exceed the Department of Human Services maximum rate.</t>
    </r>
  </si>
  <si>
    <t>R3b</t>
  </si>
  <si>
    <t>R3c</t>
  </si>
  <si>
    <t>R3d</t>
  </si>
  <si>
    <t>Rcost. ADD COST-BASED REBUTTAL FACTOR</t>
  </si>
  <si>
    <t>Rcost1</t>
  </si>
  <si>
    <t>Special costs paid by a parent or caretaker</t>
  </si>
  <si>
    <t>RcostR</t>
  </si>
  <si>
    <t>Rcost2</t>
  </si>
  <si>
    <t>Rcost3</t>
  </si>
  <si>
    <t>Rcost4</t>
  </si>
  <si>
    <r>
      <t>Support obligation after adding special costs</t>
    </r>
    <r>
      <rPr>
        <sz val="11"/>
        <rFont val="Arial"/>
        <family val="2"/>
      </rPr>
      <t xml:space="preserve">
Add special costs (line Rcost3) to the support obligation after adding child care costs (line R3d).</t>
    </r>
  </si>
  <si>
    <t>R4. HEALTH CARE COVERAGE</t>
  </si>
  <si>
    <t>R4a</t>
  </si>
  <si>
    <t>R4b</t>
  </si>
  <si>
    <t>R4c</t>
  </si>
  <si>
    <r>
      <t xml:space="preserve">Total number of children
</t>
    </r>
    <r>
      <rPr>
        <sz val="11"/>
        <rFont val="Arial"/>
        <family val="2"/>
      </rPr>
      <t>Add the number of non-joint children (line 1c), the joint minor children (line 1d), and the joint Children Attending School (line 1e) for each parent.</t>
    </r>
  </si>
  <si>
    <r>
      <t xml:space="preserve">Each parent's income share percentage
</t>
    </r>
    <r>
      <rPr>
        <sz val="11"/>
        <rFont val="Arial"/>
        <family val="2"/>
      </rPr>
      <t>Each parent's adjusted income (line 1h) divided by the total.</t>
    </r>
  </si>
  <si>
    <r>
      <t xml:space="preserve">Basic support obligation after self-support reserve
</t>
    </r>
    <r>
      <rPr>
        <sz val="11"/>
        <rFont val="Arial"/>
        <family val="2"/>
      </rPr>
      <t>Enter the lesser of: 1) basic support obligation (line 2a) multiplied by each parent's income share percentage (line 1i); or 2) the parent's income available for support (line 1j).</t>
    </r>
  </si>
  <si>
    <r>
      <t>Support obligation after adding child care costs</t>
    </r>
    <r>
      <rPr>
        <sz val="11"/>
        <rFont val="Arial"/>
        <family val="2"/>
      </rPr>
      <t xml:space="preserve">
Add child care costs (line 3c) to the basic support obligation (line 2b).</t>
    </r>
  </si>
  <si>
    <r>
      <t>Parents' percentage share of health care coverage costs</t>
    </r>
    <r>
      <rPr>
        <sz val="11"/>
        <rFont val="Arial"/>
        <family val="2"/>
      </rPr>
      <t xml:space="preserve">
Divide each parent's reasonable cost for health care coverage by the total amount on line 4c.</t>
    </r>
  </si>
  <si>
    <r>
      <t xml:space="preserve">Average number of overnights (or equivalent)
</t>
    </r>
    <r>
      <rPr>
        <sz val="11"/>
        <rFont val="Arial"/>
        <family val="2"/>
      </rPr>
      <t>Enter each parent's and caretaker's average number of overnights with the joint minor children.</t>
    </r>
  </si>
  <si>
    <r>
      <t>Child care credit</t>
    </r>
    <r>
      <rPr>
        <sz val="11"/>
        <rFont val="Arial"/>
        <family val="2"/>
      </rPr>
      <t xml:space="preserve">
Enter each parent's child care costs (line 3a). </t>
    </r>
  </si>
  <si>
    <r>
      <t xml:space="preserve">Credit for health care coverage costs
</t>
    </r>
    <r>
      <rPr>
        <sz val="11"/>
        <rFont val="Arial"/>
        <family val="2"/>
      </rPr>
      <t>If health care coverage will be provided (line 4f), enter the health care coverage costs (line 4a) for each providing parent.</t>
    </r>
  </si>
  <si>
    <r>
      <t xml:space="preserve">Amount needed to meet minimum order
</t>
    </r>
    <r>
      <rPr>
        <sz val="11"/>
        <rFont val="Arial"/>
        <family val="2"/>
      </rPr>
      <t>If a parent has a total support payment obligation of less than $100 (line 8a), and does not have an exception to the minimum order (line 8b), subtract line 8a from $100. This is the increase needed to reach the $100 minimum order. Otherwise, enter $0.</t>
    </r>
  </si>
  <si>
    <r>
      <t>10. AGREED SUPPORT AMOUNT</t>
    </r>
    <r>
      <rPr>
        <sz val="11"/>
        <rFont val="Verdana"/>
        <family val="2"/>
      </rPr>
      <t xml:space="preserve"> (optional)</t>
    </r>
  </si>
  <si>
    <t>R4d</t>
  </si>
  <si>
    <t>R4e</t>
  </si>
  <si>
    <t>R4f</t>
  </si>
  <si>
    <t>R4g</t>
  </si>
  <si>
    <t>R4h</t>
  </si>
  <si>
    <t>R4i</t>
  </si>
  <si>
    <t>R5. CASH MEDICAL SUPPORT</t>
  </si>
  <si>
    <t>R5a</t>
  </si>
  <si>
    <t>R6. CREDITS</t>
  </si>
  <si>
    <t>R6a</t>
  </si>
  <si>
    <t>R6b</t>
  </si>
  <si>
    <t>R6c</t>
  </si>
  <si>
    <t>R6d</t>
  </si>
  <si>
    <t>Rcost5</t>
  </si>
  <si>
    <t>R6e</t>
  </si>
  <si>
    <t>R6f</t>
  </si>
  <si>
    <r>
      <t xml:space="preserve">Child care credit
</t>
    </r>
    <r>
      <rPr>
        <sz val="11"/>
        <rFont val="Arial"/>
        <family val="2"/>
      </rPr>
      <t>Enter each parent's child care costs (line R3a).</t>
    </r>
  </si>
  <si>
    <r>
      <t xml:space="preserve">Credit for special costs
</t>
    </r>
    <r>
      <rPr>
        <sz val="11"/>
        <rFont val="Arial"/>
        <family val="2"/>
      </rPr>
      <t>Enter each parent's special costs (line Rcost1).</t>
    </r>
  </si>
  <si>
    <t>R7a</t>
  </si>
  <si>
    <t>R8a</t>
  </si>
  <si>
    <t>R8b</t>
  </si>
  <si>
    <t>R8c</t>
  </si>
  <si>
    <t>R8d</t>
  </si>
  <si>
    <t>R9a</t>
  </si>
  <si>
    <t>R9b</t>
  </si>
  <si>
    <t>R9c</t>
  </si>
  <si>
    <t>R9d</t>
  </si>
  <si>
    <t>R9e</t>
  </si>
  <si>
    <r>
      <rPr>
        <b/>
        <sz val="11"/>
        <rFont val="Arial"/>
        <family val="2"/>
      </rPr>
      <t xml:space="preserve">Total child support
</t>
    </r>
    <r>
      <rPr>
        <sz val="11"/>
        <rFont val="Arial"/>
        <family val="2"/>
      </rPr>
      <t>Add all cash child support and cash medical support (lines R9a-R9d).</t>
    </r>
  </si>
  <si>
    <t>R9f</t>
  </si>
  <si>
    <t>R10a</t>
  </si>
  <si>
    <t>Adjustment to cash child support for minor children (+/-)</t>
  </si>
  <si>
    <t>R10b</t>
  </si>
  <si>
    <r>
      <t xml:space="preserve">Adjusted cash child support for minor children
</t>
    </r>
    <r>
      <rPr>
        <sz val="11"/>
        <rFont val="Arial"/>
        <family val="2"/>
      </rPr>
      <t>Apply adjustment to cash child support for minor children (line R9a).</t>
    </r>
  </si>
  <si>
    <t>R10c</t>
  </si>
  <si>
    <t>R10d</t>
  </si>
  <si>
    <t>R10e</t>
  </si>
  <si>
    <t>Adjustment to cash child support for Children Attending School (+/-)</t>
  </si>
  <si>
    <t>R10f</t>
  </si>
  <si>
    <t>R10g</t>
  </si>
  <si>
    <t>R10h</t>
  </si>
  <si>
    <t>R10i</t>
  </si>
  <si>
    <r>
      <t xml:space="preserve">Total adjusted child support
</t>
    </r>
    <r>
      <rPr>
        <sz val="11"/>
        <rFont val="Arial"/>
        <family val="2"/>
      </rPr>
      <t>Add all adjusted cash child support and cash medical support (lines R10b, R10d, R10f, and R10h).</t>
    </r>
  </si>
  <si>
    <t>R10R</t>
  </si>
  <si>
    <r>
      <t>R11. AGREED SUPPORT AMOUNT</t>
    </r>
    <r>
      <rPr>
        <sz val="11"/>
        <rFont val="Verdana"/>
        <family val="2"/>
      </rPr>
      <t xml:space="preserve"> (optional)</t>
    </r>
  </si>
  <si>
    <t>R11a</t>
  </si>
  <si>
    <t>R11b</t>
  </si>
  <si>
    <t>R11c</t>
  </si>
  <si>
    <t>R11d</t>
  </si>
  <si>
    <t>R11e</t>
  </si>
  <si>
    <t>R11f</t>
  </si>
  <si>
    <t>R11g</t>
  </si>
  <si>
    <t>R11h</t>
  </si>
  <si>
    <t>none</t>
  </si>
  <si>
    <t>option</t>
  </si>
  <si>
    <t>L+R</t>
  </si>
  <si>
    <t>L or R</t>
  </si>
  <si>
    <t xml:space="preserve">L </t>
  </si>
  <si>
    <t xml:space="preserve">R </t>
  </si>
  <si>
    <t>available at reasonable cost?</t>
  </si>
  <si>
    <t xml:space="preserve">text report </t>
  </si>
  <si>
    <t>option list choices (excludes both "L or R" results)</t>
  </si>
  <si>
    <t>shrunken &amp; 
re-sorted 
options list</t>
  </si>
  <si>
    <t>Who can provide at RIC:</t>
  </si>
  <si>
    <t>total premium</t>
  </si>
  <si>
    <t>Instructions at http://oregonchildsupport.gov/forms/docs/csf020910_instructions.pdf</t>
  </si>
  <si>
    <r>
      <t xml:space="preserve">Income available for health care coverage
</t>
    </r>
    <r>
      <rPr>
        <sz val="11"/>
        <rFont val="Arial"/>
        <family val="2"/>
      </rPr>
      <t>Subtract support obligation after adding child care costs (line 3d) from income available for support (line 1j).</t>
    </r>
  </si>
  <si>
    <t>R9. FINAL SUPPORT AMOUNTS AND MEDICAL SUPPORT PROVISIONS</t>
  </si>
  <si>
    <r>
      <t xml:space="preserve">Adjustment to income in support of rebuttal (+/-)
</t>
    </r>
    <r>
      <rPr>
        <sz val="11"/>
        <rFont val="Arial"/>
        <family val="2"/>
      </rPr>
      <t>Enter the amount by which you wish to increase or decrease income to calculate a deviation from the support guidelines.</t>
    </r>
  </si>
  <si>
    <r>
      <t xml:space="preserve">Reason for special cost </t>
    </r>
    <r>
      <rPr>
        <sz val="11"/>
        <rFont val="Arial"/>
        <family val="2"/>
      </rPr>
      <t>(describe)</t>
    </r>
  </si>
  <si>
    <t>Only complete this section if the parties agree to a change in the support amount.
The parents may increase or decrease the support amount by up to 15%.</t>
  </si>
  <si>
    <t>This worksheet is presented in support of a finding that the guideline support amount
is unjust or inappropriate. It is not the guideline support amount.</t>
  </si>
  <si>
    <t>CHILD SUPPORT CALCULATION SUMMARY</t>
  </si>
  <si>
    <t>oregonchildsupport.gov</t>
  </si>
  <si>
    <t>Support for the minor children</t>
  </si>
  <si>
    <t>Support for the children attending school</t>
  </si>
  <si>
    <t>The total monthly guideline support amount is:</t>
  </si>
  <si>
    <r>
      <t xml:space="preserve">Adjusted income
</t>
    </r>
    <r>
      <rPr>
        <sz val="11"/>
        <rFont val="Arial"/>
        <family val="2"/>
      </rPr>
      <t>Subtract non-joint child deduction (line 1g) from income after additions and subtractions (line 1b). Add the parents' adjusted incomes and enter amount in the "total" column. If less than zero, enter $0.</t>
    </r>
  </si>
  <si>
    <t>caretaker</t>
  </si>
  <si>
    <r>
      <t>Income available for child care costs</t>
    </r>
    <r>
      <rPr>
        <sz val="11"/>
        <rFont val="Arial"/>
        <family val="2"/>
      </rPr>
      <t xml:space="preserve">
Subtract each parent's basic support obligation (line 2b) from each parent's income available for support (line 1j).</t>
    </r>
  </si>
  <si>
    <r>
      <t>Who will provide health care coverage?</t>
    </r>
    <r>
      <rPr>
        <sz val="11"/>
        <rFont val="Arial"/>
        <family val="2"/>
      </rPr>
      <t xml:space="preserve">
Select the parent(s) with coverage available at a reasonable cost (line 4d) who will provide coverage. Add the costs of the selected coverage from line 4a and enter the amount in the total column. If neither parent can provide coverage now, select "either parent when available" and enter $0.</t>
    </r>
  </si>
  <si>
    <r>
      <t>Support obligation after adding health care coverage costs</t>
    </r>
    <r>
      <rPr>
        <sz val="11"/>
        <rFont val="Arial"/>
        <family val="2"/>
      </rPr>
      <t xml:space="preserve">
Add the support obligation after child care costs (line 3d) to each parent's share of health care coverage costs (line 4h).</t>
    </r>
  </si>
  <si>
    <t>5b</t>
  </si>
  <si>
    <t>caretaker
or agency</t>
  </si>
  <si>
    <t>9g</t>
  </si>
  <si>
    <r>
      <t xml:space="preserve">Actual percentage change
</t>
    </r>
    <r>
      <rPr>
        <sz val="11"/>
        <rFont val="Arial"/>
        <family val="2"/>
      </rPr>
      <t>Divide the amount of agreed change (line 10b) by total child support (line 9e).</t>
    </r>
  </si>
  <si>
    <r>
      <t xml:space="preserve">Income available for child care costs
</t>
    </r>
    <r>
      <rPr>
        <sz val="11"/>
        <rFont val="Arial"/>
        <family val="2"/>
      </rPr>
      <t>Subtract each parent's basic support obligation (line R2b) from each parent's income available for support (line R1j).</t>
    </r>
  </si>
  <si>
    <t>R5b</t>
  </si>
  <si>
    <r>
      <t xml:space="preserve">Total agreed child support
</t>
    </r>
    <r>
      <rPr>
        <sz val="11"/>
        <rFont val="Arial"/>
        <family val="2"/>
      </rPr>
      <t>Add all agreed cash child support and cash medical support
(lines 10d-10g).</t>
    </r>
  </si>
  <si>
    <t>R9g</t>
  </si>
  <si>
    <t>R10. APPLY REBUTTAL FACTORS TO FINAL SUPPORT AMOUNTS</t>
  </si>
  <si>
    <r>
      <t xml:space="preserve">Private health care coverage
</t>
    </r>
    <r>
      <rPr>
        <sz val="11"/>
        <rFont val="Arial"/>
        <family val="2"/>
      </rPr>
      <t>Who should be ordered to provide health care coverage? Enter the selection from line R4f.</t>
    </r>
  </si>
  <si>
    <r>
      <t xml:space="preserve">Reason for adjustment to income </t>
    </r>
    <r>
      <rPr>
        <sz val="11"/>
        <rFont val="Arial"/>
        <family val="2"/>
      </rPr>
      <t xml:space="preserve">(describe)
</t>
    </r>
  </si>
  <si>
    <t>Reason(s) for adjustment to final support amounts (describe):</t>
  </si>
  <si>
    <t>election
y/n/c</t>
  </si>
  <si>
    <t>Enter information in yellow shaded boxes</t>
  </si>
  <si>
    <t>Green shaded boxes show results</t>
  </si>
  <si>
    <t>This table is not for display. It identifies the available options and provides the basis for 4d text and 4f validation.</t>
  </si>
  <si>
    <t>Peach shaded boxes=from main worksheet; yellow shaded boxes = enter information</t>
  </si>
  <si>
    <t>(1)(a) Evidence of the other available resources of the parent</t>
  </si>
  <si>
    <t>(1)(b) Reasonable necessities of the parent</t>
  </si>
  <si>
    <t>(1)(c) Net income of the parent remaining</t>
  </si>
  <si>
    <t>(1)(d) Parent's ability to borrow</t>
  </si>
  <si>
    <t>(1)(e) Number and needs of other dependents of a parent</t>
  </si>
  <si>
    <t>(1)(f) Special hardships of a parent</t>
  </si>
  <si>
    <t>(1)(g) Desirability of the custodial parent to remain in the home</t>
  </si>
  <si>
    <t>(1)(h) Tax consequences to both parties</t>
  </si>
  <si>
    <t>(1)(i) Financial advantage afforded by spouse's income</t>
  </si>
  <si>
    <t>(1)(j) Financial advantage by benefits of employment</t>
  </si>
  <si>
    <t>(1)(k) Child not living with either parent</t>
  </si>
  <si>
    <t>(1)(L) Prior findings in a judgment, order, decree or settlement</t>
  </si>
  <si>
    <t>(1)(m) Payments of mutually incurred financial obligations</t>
  </si>
  <si>
    <t>(1)(n) Tax advantage or adverse tax affect</t>
  </si>
  <si>
    <t>(1)(o) Extraordinary or diminished needs of the child</t>
  </si>
  <si>
    <t>(1)(p)The return of capital</t>
  </si>
  <si>
    <t>(1)(q) Financial cost of supporting a Child Attending School</t>
  </si>
  <si>
    <t>(1) Other reason not listed</t>
  </si>
  <si>
    <t>Selected Rebuttals</t>
  </si>
  <si>
    <r>
      <rPr>
        <sz val="11"/>
        <color indexed="12"/>
        <rFont val="Arial"/>
        <family val="2"/>
      </rPr>
      <t>OAR 137-050-0760(1)(a-q)</t>
    </r>
    <r>
      <rPr>
        <sz val="11"/>
        <rFont val="Arial"/>
        <family val="2"/>
      </rPr>
      <t xml:space="preserve"> rebuttal factor:</t>
    </r>
  </si>
  <si>
    <r>
      <rPr>
        <sz val="11"/>
        <color indexed="12"/>
        <rFont val="Arial"/>
        <family val="2"/>
      </rPr>
      <t>OAR 137-050-0760(1)(a-q)</t>
    </r>
    <r>
      <rPr>
        <sz val="11"/>
        <rFont val="Arial"/>
        <family val="2"/>
      </rPr>
      <t xml:space="preserve"> rebuttal factor(s):</t>
    </r>
  </si>
  <si>
    <r>
      <t>Income available for special costs</t>
    </r>
    <r>
      <rPr>
        <sz val="11"/>
        <rFont val="Arial"/>
        <family val="2"/>
      </rPr>
      <t xml:space="preserve">
Subtract each parent's support obligation after child care 
costs (line R3d) from parent's available income for support 
(line R1j).</t>
    </r>
  </si>
  <si>
    <r>
      <t xml:space="preserve">Income available for health care coverage
</t>
    </r>
    <r>
      <rPr>
        <sz val="11"/>
        <rFont val="Arial"/>
        <family val="2"/>
      </rPr>
      <t>Subtract support obligation after adding special costs (line 
Rcost4) from income available for support (line R1j).</t>
    </r>
  </si>
  <si>
    <r>
      <t xml:space="preserve">Parents' percentage share of health care coverage costs
</t>
    </r>
    <r>
      <rPr>
        <sz val="11"/>
        <rFont val="Arial"/>
        <family val="2"/>
      </rPr>
      <t>Divide each parent's reasonable cost for health care coverage 
by the total amount on line R4c.</t>
    </r>
  </si>
  <si>
    <r>
      <t xml:space="preserve">Each parent's share of health care coverage costs
</t>
    </r>
    <r>
      <rPr>
        <sz val="11"/>
        <rFont val="Arial"/>
        <family val="2"/>
      </rPr>
      <t>Multiply the total cost of health care coverage that will be 
ordered (line R4f) by each parent's percentage share of health care coverage costs (line R4g).</t>
    </r>
  </si>
  <si>
    <r>
      <t xml:space="preserve">Support obligation after adding health care coverage costs
</t>
    </r>
    <r>
      <rPr>
        <sz val="11"/>
        <rFont val="Arial"/>
        <family val="2"/>
      </rPr>
      <t>Add the support obligation after adding special costs (line 
Rcost4) to each parent's share of health care coverage costs 
(line R4h).</t>
    </r>
  </si>
  <si>
    <r>
      <t xml:space="preserve">Average number of overnights (or equivalent)
</t>
    </r>
    <r>
      <rPr>
        <sz val="11"/>
        <rFont val="Arial"/>
        <family val="2"/>
      </rPr>
      <t>Enter each parent's and caretaker's average number of 
overnights with the joint minor children.</t>
    </r>
  </si>
  <si>
    <r>
      <rPr>
        <b/>
        <sz val="11"/>
        <rFont val="Arial"/>
        <family val="2"/>
      </rPr>
      <t xml:space="preserve">Amount needed to meet minimum order
</t>
    </r>
    <r>
      <rPr>
        <sz val="11"/>
        <rFont val="Arial"/>
        <family val="2"/>
      </rPr>
      <t>If a parent has a total support payment obligation of less than 
$100 (line R8a), and does not have an exception to the 
minimum order (line R8b), subtract line R8a from $100. This is 
the increase needed to reach the $100 minimum order.
Otherwise, enter $0.</t>
    </r>
  </si>
  <si>
    <r>
      <t xml:space="preserve">Reasonable cost for health care coverage
</t>
    </r>
    <r>
      <rPr>
        <sz val="11"/>
        <rFont val="Arial"/>
        <family val="2"/>
      </rPr>
      <t>Enter the "total" reasonable in cost amount from line R4c. But, if health care coverage will be ordered at a higher amount (line 
R4e) enter the greater of 1) the line R4c total, or 2) the line R4f total.</t>
    </r>
  </si>
  <si>
    <t>Adjustment to cash medical support for minor children 
(+/-)</t>
  </si>
  <si>
    <r>
      <t xml:space="preserve">Adjusted cash medical support for minor children (+/-)
</t>
    </r>
    <r>
      <rPr>
        <sz val="11"/>
        <rFont val="Arial"/>
        <family val="2"/>
      </rPr>
      <t>Apply adjustment to cash medical support for minor children 
(line R9b).</t>
    </r>
  </si>
  <si>
    <r>
      <t xml:space="preserve">Adjusted cash child support for Children Attending 
School
</t>
    </r>
    <r>
      <rPr>
        <sz val="11"/>
        <rFont val="Arial"/>
        <family val="2"/>
      </rPr>
      <t>Apply adjustment to cash child support for Children Attending School (line R9c).</t>
    </r>
  </si>
  <si>
    <t>Adjustment to cash medical support for Children 
Attending School (+/-)</t>
  </si>
  <si>
    <r>
      <t xml:space="preserve">Maximum permitted change
</t>
    </r>
    <r>
      <rPr>
        <sz val="11"/>
        <rFont val="Arial"/>
        <family val="2"/>
      </rPr>
      <t>Multiply each parent's total adjusted child support (line R10i) 
by 0.15.</t>
    </r>
  </si>
  <si>
    <r>
      <t xml:space="preserve">Actual percentage change
</t>
    </r>
    <r>
      <rPr>
        <sz val="11"/>
        <rFont val="Arial"/>
        <family val="2"/>
      </rPr>
      <t>Divide the amount of agreed change (line R11b) by total 
adjusted child support (line R10i).</t>
    </r>
  </si>
  <si>
    <r>
      <t xml:space="preserve">Agreed cash child support obligation for minor children
</t>
    </r>
    <r>
      <rPr>
        <sz val="11"/>
        <rFont val="Arial"/>
        <family val="2"/>
      </rPr>
      <t>Increase or decrease line R10b by the actual percentage 
change (line R11c). Round to the nearest dollar.</t>
    </r>
  </si>
  <si>
    <r>
      <t xml:space="preserve">Agreed cash medical support obligation for minor 
children
</t>
    </r>
    <r>
      <rPr>
        <sz val="11"/>
        <rFont val="Arial"/>
        <family val="2"/>
      </rPr>
      <t>Increase or decrease line R10d by the actual percentage 
change (line R11c). Round to the nearest dollar.</t>
    </r>
  </si>
  <si>
    <r>
      <t xml:space="preserve">Agreed cash child support obligation for Children 
Attending School
</t>
    </r>
    <r>
      <rPr>
        <sz val="11"/>
        <rFont val="Arial"/>
        <family val="2"/>
      </rPr>
      <t>Increase or decrease line R10f by the actual percentage 
change (line R11c). Round to the nearest dollar.</t>
    </r>
  </si>
  <si>
    <r>
      <t xml:space="preserve">Agreed cash medical support obligation for Children Attending School
</t>
    </r>
    <r>
      <rPr>
        <sz val="11"/>
        <rFont val="Arial"/>
        <family val="2"/>
      </rPr>
      <t>Increase or decrease line R10h by the actual percentage 
change (line R11c). Round to the nearest dollar.</t>
    </r>
  </si>
  <si>
    <r>
      <t xml:space="preserve">Total agreed child support
</t>
    </r>
    <r>
      <rPr>
        <sz val="11"/>
        <rFont val="Arial"/>
        <family val="2"/>
      </rPr>
      <t>Add all agreed cash child support and cash medical support 
(lines R11d-R11g).</t>
    </r>
  </si>
  <si>
    <r>
      <rPr>
        <b/>
        <sz val="11"/>
        <rFont val="Arial"/>
        <family val="2"/>
      </rPr>
      <t xml:space="preserve">Private health care coverage
</t>
    </r>
    <r>
      <rPr>
        <sz val="11"/>
        <rFont val="Arial"/>
        <family val="2"/>
      </rPr>
      <t>Who should be ordered to provide health care coverage? Enter 
the selection from line 4f.</t>
    </r>
  </si>
  <si>
    <r>
      <t xml:space="preserve">Reasonable cost for health care coverage
</t>
    </r>
    <r>
      <rPr>
        <sz val="11"/>
        <rFont val="Arial"/>
        <family val="2"/>
      </rPr>
      <t xml:space="preserve">Enter the "total" reasonable in cost amount from line 4c.
But, if health care coverage will be ordered at a higher amount 
(line 4e) enter </t>
    </r>
    <r>
      <rPr>
        <i/>
        <sz val="11"/>
        <rFont val="Arial"/>
        <family val="2"/>
      </rPr>
      <t xml:space="preserve">the greater of </t>
    </r>
    <r>
      <rPr>
        <sz val="11"/>
        <rFont val="Arial"/>
        <family val="2"/>
      </rPr>
      <t>1) the line 4c total, or 2) the line 4f total.</t>
    </r>
  </si>
  <si>
    <r>
      <t xml:space="preserve">Agreed cash child support obligation for minor children
</t>
    </r>
    <r>
      <rPr>
        <sz val="11"/>
        <rFont val="Arial"/>
        <family val="2"/>
      </rPr>
      <t>Increase or decrease line 9a by the actual percentage change 
(line 10c). Round to the nearest dollar.</t>
    </r>
  </si>
  <si>
    <r>
      <t xml:space="preserve">Agreed cash medical support obligation for minor children
</t>
    </r>
    <r>
      <rPr>
        <sz val="11"/>
        <rFont val="Arial"/>
        <family val="2"/>
      </rPr>
      <t>Increase or decrease line 9b by the actual percentage change 
(line 10c). Round to the nearest dollar.</t>
    </r>
  </si>
  <si>
    <r>
      <t xml:space="preserve">Agreed cash medical support obligation for Children Attending School
</t>
    </r>
    <r>
      <rPr>
        <sz val="11"/>
        <rFont val="Arial"/>
        <family val="2"/>
      </rPr>
      <t>Increase or decrease line 9d by the actual percentage change 
(line 10c). Round to the nearest dollar.</t>
    </r>
  </si>
  <si>
    <r>
      <t xml:space="preserve">Number of joint minor children
</t>
    </r>
    <r>
      <rPr>
        <sz val="11"/>
        <rFont val="Arial"/>
        <family val="2"/>
      </rPr>
      <t>Include 18-year-olds attending high school and living with a 
parent.</t>
    </r>
  </si>
  <si>
    <r>
      <t xml:space="preserve">Adjusted income
</t>
    </r>
    <r>
      <rPr>
        <sz val="11"/>
        <rFont val="Arial"/>
        <family val="2"/>
      </rPr>
      <t>Subtract non-joint child deduction (line R1g) from income after additions and subtractions (line R1b). Apply adjustment to 
income in support of rebuttal (line Rinc). Add the parents' 
adjusted incomes and enter amount in the "total" column. If less than zero, enter $0.</t>
    </r>
  </si>
  <si>
    <r>
      <t xml:space="preserve">Child care costs for joint children under 13 or disabled
</t>
    </r>
    <r>
      <rPr>
        <sz val="11"/>
        <rFont val="Arial"/>
        <family val="2"/>
      </rPr>
      <t>Enter the cost in the column of the parent or caretaker paying 
the cost. Costs may not exceed the Department of Human Services maximum rate.</t>
    </r>
  </si>
  <si>
    <r>
      <t xml:space="preserve">Parents' shares of child care costs
</t>
    </r>
    <r>
      <rPr>
        <sz val="11"/>
        <rFont val="Arial"/>
        <family val="2"/>
      </rPr>
      <t>Multiply each parent's income share percentage (line R1i) by 
the total of all child care costs (line R3a) and enter the lesser of that amount or income available for child care costs (line R3b).</t>
    </r>
  </si>
  <si>
    <r>
      <t>Support obligation after adding child care costs</t>
    </r>
    <r>
      <rPr>
        <sz val="11"/>
        <rFont val="Arial"/>
        <family val="2"/>
      </rPr>
      <t xml:space="preserve">
Add child care costs (line R3c) to the basic support obligation 
(line R2b).</t>
    </r>
  </si>
  <si>
    <r>
      <t>Parents' shares of special costs</t>
    </r>
    <r>
      <rPr>
        <sz val="11"/>
        <rFont val="Arial"/>
        <family val="2"/>
      </rPr>
      <t xml:space="preserve">
Enter in total column the sum of all special costs (line 
Rcost1). Multiply by each parent's income share percentage 
(line R1i). Enter the lesser of that amount or income available 
for special costs (line Rcost2).</t>
    </r>
  </si>
  <si>
    <r>
      <t xml:space="preserve">Health care coverage costs for joint children
</t>
    </r>
    <r>
      <rPr>
        <sz val="11"/>
        <rFont val="Arial"/>
        <family val="2"/>
      </rPr>
      <t>Enter the amount each parent pays for health insurance 
premiums, even if $0. Enter "none" if appropriate coverage is 
not available.</t>
    </r>
  </si>
  <si>
    <t>caretaker 
or agency</t>
  </si>
  <si>
    <r>
      <rPr>
        <b/>
        <sz val="11"/>
        <rFont val="Arial"/>
        <family val="2"/>
      </rPr>
      <t>Non-joint child deduction</t>
    </r>
    <r>
      <rPr>
        <sz val="11"/>
        <rFont val="Arial"/>
        <family val="2"/>
      </rPr>
      <t xml:space="preserve">
Reference the </t>
    </r>
    <r>
      <rPr>
        <u val="single"/>
        <sz val="11"/>
        <color indexed="12"/>
        <rFont val="Arial"/>
        <family val="2"/>
      </rPr>
      <t>scale</t>
    </r>
    <r>
      <rPr>
        <sz val="11"/>
        <rFont val="Arial"/>
        <family val="2"/>
      </rPr>
      <t xml:space="preserve"> using the parent's income after additions and subtractions (line 1b) and the parent’s total number of children (line 1f). Divide the result by the total number of children and multiply by the number of non-joint children (line 1c).</t>
    </r>
  </si>
  <si>
    <r>
      <t xml:space="preserve">Total child support 
</t>
    </r>
    <r>
      <rPr>
        <sz val="11"/>
        <rFont val="Arial"/>
        <family val="2"/>
      </rPr>
      <t>Add all cash child support and cash medical support (lines 9a-9d).</t>
    </r>
  </si>
  <si>
    <r>
      <t xml:space="preserve">Non-joint child deduction 
</t>
    </r>
    <r>
      <rPr>
        <sz val="11"/>
        <rFont val="Arial"/>
        <family val="2"/>
      </rPr>
      <t xml:space="preserve">Reference the </t>
    </r>
    <r>
      <rPr>
        <u val="single"/>
        <sz val="11"/>
        <color indexed="12"/>
        <rFont val="Arial"/>
        <family val="2"/>
      </rPr>
      <t>scale</t>
    </r>
    <r>
      <rPr>
        <sz val="11"/>
        <rFont val="Arial"/>
        <family val="2"/>
      </rPr>
      <t xml:space="preserve"> using the parent's income after additions and subtractions (line R1b) and the parent's total number of children (line R1f). Divide the result by the total number of children and multiply by the number of non-joint children (line R1c).</t>
    </r>
  </si>
  <si>
    <r>
      <t xml:space="preserve">Credit for health care coverage costs 
</t>
    </r>
    <r>
      <rPr>
        <sz val="11"/>
        <rFont val="Arial"/>
        <family val="2"/>
      </rPr>
      <t>If health care coverage will be provided (line R4f), enter the health care coverage costs (line R4a) for each providing parent.</t>
    </r>
  </si>
  <si>
    <r>
      <t xml:space="preserve">Adjusted cash medical support for Children Attending School 
</t>
    </r>
    <r>
      <rPr>
        <sz val="11"/>
        <rFont val="Arial"/>
        <family val="2"/>
      </rPr>
      <t>Apply adjustment to cash medical support for Children Attending School (line R9d).</t>
    </r>
  </si>
  <si>
    <r>
      <t xml:space="preserve">Agreed cash child support obligation for Children Attending School
</t>
    </r>
    <r>
      <rPr>
        <sz val="11"/>
        <rFont val="Arial"/>
        <family val="2"/>
      </rPr>
      <t>Increase or decrease line 9c by the actual percentage change 
(line 10c). Round to the nearest dollar.</t>
    </r>
  </si>
  <si>
    <r>
      <t>Basic support obligation after self-support reserve</t>
    </r>
    <r>
      <rPr>
        <sz val="11"/>
        <rFont val="Arial"/>
        <family val="2"/>
      </rPr>
      <t xml:space="preserve">
Enter the lesser of: 1) basic support obligation (line R2a) multiplied by each parent's income share percentage (line R1i); 
or 2) the parent's income available for support (line R1j).</t>
    </r>
  </si>
  <si>
    <r>
      <t xml:space="preserve">Instructions at </t>
    </r>
    <r>
      <rPr>
        <sz val="10"/>
        <color indexed="12"/>
        <rFont val="Arial"/>
        <family val="2"/>
      </rPr>
      <t>http://oregonchildsupport.gov/forms/docs/csf020910a_instructions.pdf</t>
    </r>
  </si>
  <si>
    <t>is:</t>
  </si>
  <si>
    <t>$</t>
  </si>
  <si>
    <t>name</t>
  </si>
  <si>
    <t>relationship</t>
  </si>
  <si>
    <t>alleged father</t>
  </si>
  <si>
    <t>father</t>
  </si>
  <si>
    <t>mother</t>
  </si>
  <si>
    <t>Release Notes</t>
  </si>
  <si>
    <r>
      <t>Number of joint Children Attending School age 18 to 20</t>
    </r>
    <r>
      <rPr>
        <sz val="11"/>
        <rFont val="Arial"/>
        <family val="2"/>
      </rPr>
      <t xml:space="preserve">
Exclude 18-year-olds attending high school and living with a parent.</t>
    </r>
  </si>
  <si>
    <r>
      <t xml:space="preserve">Each parent's share of health care coverage costs
</t>
    </r>
    <r>
      <rPr>
        <sz val="11"/>
        <rFont val="Arial"/>
        <family val="2"/>
      </rPr>
      <t>Multiply the total cost of health care coverage that will be ordered (line 4f) by each parent's percentage share of health care coverage costs (line 4g).</t>
    </r>
  </si>
  <si>
    <r>
      <t>Parents' shares of child care costs</t>
    </r>
    <r>
      <rPr>
        <sz val="11"/>
        <rFont val="Arial"/>
        <family val="2"/>
      </rPr>
      <t xml:space="preserve">
Multiply each parent's income share percentage (line 1i) by the total of all child care costs (line 3a) and enter the lesser of that amount or income available for child care costs (line 3b).</t>
    </r>
  </si>
  <si>
    <r>
      <t xml:space="preserve">Health care coverage costs for joint children
</t>
    </r>
    <r>
      <rPr>
        <sz val="11"/>
        <rFont val="Arial"/>
        <family val="2"/>
      </rPr>
      <t>Enter the amount each parent pays for health insurance premiums, even if $0. Enter "none" if appropriate coverage is not available.</t>
    </r>
  </si>
  <si>
    <r>
      <t xml:space="preserve">Who will provide health care coverage?
</t>
    </r>
    <r>
      <rPr>
        <sz val="11"/>
        <rFont val="Arial"/>
        <family val="2"/>
      </rPr>
      <t>Select the parent(s) with coverage available at a reasonable 
cost (line R4d) who will provide coverage. Add the costs of the selected coverage from line R4a and enter the amount in the 
total column. If neither parent can provide coverage now, select "either parent when available" and enter $0.</t>
    </r>
  </si>
  <si>
    <r>
      <t xml:space="preserve">Cash medical support amount
</t>
    </r>
    <r>
      <rPr>
        <sz val="11"/>
        <rFont val="Arial"/>
        <family val="2"/>
      </rPr>
      <t>If line 5a is "</t>
    </r>
    <r>
      <rPr>
        <b/>
        <sz val="11"/>
        <rFont val="Arial"/>
        <family val="2"/>
      </rPr>
      <t>y</t>
    </r>
    <r>
      <rPr>
        <sz val="11"/>
        <rFont val="Arial"/>
        <family val="2"/>
      </rPr>
      <t>", enter each parent's reasonable cost amount
(line 4c).
If line 5a is "</t>
    </r>
    <r>
      <rPr>
        <b/>
        <sz val="11"/>
        <rFont val="Arial"/>
        <family val="2"/>
      </rPr>
      <t>n</t>
    </r>
    <r>
      <rPr>
        <sz val="11"/>
        <rFont val="Arial"/>
        <family val="2"/>
      </rPr>
      <t>", enter $0.
If line 5a is "</t>
    </r>
    <r>
      <rPr>
        <b/>
        <sz val="11"/>
        <rFont val="Arial"/>
        <family val="2"/>
      </rPr>
      <t>c</t>
    </r>
    <r>
      <rPr>
        <sz val="11"/>
        <rFont val="Arial"/>
        <family val="2"/>
      </rPr>
      <t>", enter each parent's reasonable cost amount (line 4c).</t>
    </r>
  </si>
  <si>
    <r>
      <t xml:space="preserve">Parenting time credit
</t>
    </r>
    <r>
      <rPr>
        <sz val="11"/>
        <rFont val="Arial"/>
        <family val="2"/>
      </rPr>
      <t>Multiply the basic support obligation (line 2a) by the number of 
joint minor children (line 1d), divide by the number of joint children (lines 1d + 1e), and multiply by each parent's parenting time credit percentage (line 6b).</t>
    </r>
  </si>
  <si>
    <t>8e</t>
  </si>
  <si>
    <r>
      <t xml:space="preserve">Support after credits
</t>
    </r>
    <r>
      <rPr>
        <sz val="11"/>
        <rFont val="Arial"/>
        <family val="2"/>
      </rPr>
      <t>Subtract credits (lines 6c, 6d, and 6e) from the support obligation after adding health care coverage costs (line 4i). This amount may be less than zero.</t>
    </r>
  </si>
  <si>
    <t>7. WHO SHOULD PAY SUPPORT FOR MINOR CHILDREN?</t>
  </si>
  <si>
    <t>7c</t>
  </si>
  <si>
    <t>7b</t>
  </si>
  <si>
    <r>
      <rPr>
        <b/>
        <sz val="11"/>
        <rFont val="Arial"/>
        <family val="2"/>
      </rPr>
      <t>Minor children's portion of basic support obligation</t>
    </r>
    <r>
      <rPr>
        <sz val="11"/>
        <rFont val="Arial"/>
        <family val="2"/>
      </rPr>
      <t xml:space="preserve">
Divide each parent's portion of the basic support obligation (line 2b) by the total number of joint children (lines 1d + 1e) and multiply by the number of minor children (line 1d). </t>
    </r>
  </si>
  <si>
    <t>8. MINIMUM ORDER; REDUCTION FOR BENEFITS PAID TO CHILD</t>
  </si>
  <si>
    <r>
      <t>Total support payment obligation, including medical support</t>
    </r>
    <r>
      <rPr>
        <sz val="11"/>
        <rFont val="Arial"/>
        <family val="2"/>
      </rPr>
      <t xml:space="preserve"> 
To each parent's support obligation after credits (line 6f), add the greater of the health care coverage premium costs that will be ordered (line 6e) or cash medical support (line 5b).</t>
    </r>
  </si>
  <si>
    <t>8f</t>
  </si>
  <si>
    <t>8g</t>
  </si>
  <si>
    <t>8h</t>
  </si>
  <si>
    <r>
      <rPr>
        <b/>
        <sz val="11"/>
        <rFont val="Arial"/>
        <family val="2"/>
      </rPr>
      <t>Cash child support for minor children</t>
    </r>
    <r>
      <rPr>
        <sz val="11"/>
        <rFont val="Arial"/>
        <family val="2"/>
      </rPr>
      <t xml:space="preserve">
If the parent should pay support for minor children (line 7c), divide cash child support after Social Security or veterans benefits (line 8f) by the number of joint children (lines 1d + 1e) and multiply by the number of minor children (line 1d). Round to the nearest dollar.
Otherwise, enter $0.</t>
    </r>
  </si>
  <si>
    <r>
      <rPr>
        <b/>
        <sz val="11"/>
        <rFont val="Arial"/>
        <family val="2"/>
      </rPr>
      <t>Cash medical support for minor children</t>
    </r>
    <r>
      <rPr>
        <sz val="11"/>
        <rFont val="Arial"/>
        <family val="2"/>
      </rPr>
      <t xml:space="preserve">
If the parent should pay support for minor children (line 7c), divide the cash medical support amount after reductions (line 8h) by the number of joint children (lines 1d + 1e) and multiply by the number of minor children (line 1d). Round to the nearest dollar. Otherwise, enter $0.</t>
    </r>
  </si>
  <si>
    <r>
      <rPr>
        <b/>
        <sz val="11"/>
        <rFont val="Arial"/>
        <family val="2"/>
      </rPr>
      <t>Cash medical support for Children Attending School</t>
    </r>
    <r>
      <rPr>
        <sz val="11"/>
        <rFont val="Arial"/>
        <family val="2"/>
      </rPr>
      <t xml:space="preserve">
Divide the cash medical support amount after reductions (line 8h) by the number of joint children (lines 1d + 1e) and multiply by the number of Children Attending School (line 1e). Round to the nearest dollar. But, if the parent should not pay support for minor children (line 7c), enter the full amount from line 8h. Round to the nearest dollar.</t>
    </r>
  </si>
  <si>
    <r>
      <rPr>
        <b/>
        <sz val="11"/>
        <rFont val="Arial"/>
        <family val="2"/>
      </rPr>
      <t xml:space="preserve">Maximum permitted change
</t>
    </r>
    <r>
      <rPr>
        <sz val="11"/>
        <rFont val="Arial"/>
        <family val="2"/>
      </rPr>
      <t>Multiply each parent's total adjusted child support (line 9e) by 0.15.</t>
    </r>
  </si>
  <si>
    <r>
      <t xml:space="preserve">Number of joint minor children
</t>
    </r>
    <r>
      <rPr>
        <sz val="11"/>
        <rFont val="Arial"/>
        <family val="2"/>
      </rPr>
      <t>Include 18-year-olds attending high school and living with a parent.</t>
    </r>
  </si>
  <si>
    <r>
      <rPr>
        <b/>
        <sz val="11"/>
        <rFont val="Arial"/>
        <family val="2"/>
      </rPr>
      <t>Basic support obligation (from obligation scale)</t>
    </r>
    <r>
      <rPr>
        <sz val="11"/>
        <rFont val="Arial"/>
        <family val="2"/>
      </rPr>
      <t xml:space="preserve"> 
Reference the </t>
    </r>
    <r>
      <rPr>
        <u val="single"/>
        <sz val="11"/>
        <color indexed="12"/>
        <rFont val="Arial"/>
        <family val="2"/>
      </rPr>
      <t>scale</t>
    </r>
    <r>
      <rPr>
        <sz val="11"/>
        <rFont val="Arial"/>
        <family val="2"/>
      </rPr>
      <t xml:space="preserve"> using the total adjusted income (line 1h) and the number of joint 
children (lines 1e+1d). Enter this amount in the "total" column.
</t>
    </r>
  </si>
  <si>
    <r>
      <rPr>
        <b/>
        <sz val="11"/>
        <rFont val="Arial"/>
        <family val="2"/>
      </rPr>
      <t>Net obligation for minor children</t>
    </r>
    <r>
      <rPr>
        <sz val="11"/>
        <rFont val="Arial"/>
        <family val="2"/>
      </rPr>
      <t xml:space="preserve">
Add the minor children's portion of the basic support obligation (line 7a), each parent's share of child care costs (line 3c), and the minor children's portion of health care coverage costs (line 4h divided by total of lines 1d and 1e, multiplied by line 1d). Subtract parenting time credit (line 6c), child care credit (line 6d), and the minor children's portion of health care coverage costs credit (line 6e divided by total of lines 1d and 1e, multiplied by line 1d). May be less than zero.</t>
    </r>
  </si>
  <si>
    <r>
      <t>Cash child support obligation after minimum order</t>
    </r>
    <r>
      <rPr>
        <sz val="11"/>
        <rFont val="Arial"/>
        <family val="2"/>
      </rPr>
      <t xml:space="preserve">
Add amount needed to meet minimum order (line 8c) to support after credits (line 6f). But, if the parent should not pay support for minor children (line 7c), and there are no Children Attending 
School (line 1e), enter $0. If less than zero, enter $0.</t>
    </r>
  </si>
  <si>
    <r>
      <rPr>
        <b/>
        <sz val="11"/>
        <rFont val="Arial"/>
        <family val="2"/>
      </rPr>
      <t>Reduction for Social Security or veterans benefits</t>
    </r>
    <r>
      <rPr>
        <sz val="11"/>
        <rFont val="Arial"/>
        <family val="2"/>
      </rPr>
      <t xml:space="preserve">
Enter the amount of benefits paid to the joint child because of a parent's disability or retirement as provided in </t>
    </r>
    <r>
      <rPr>
        <u val="single"/>
        <sz val="11"/>
        <color indexed="12"/>
        <rFont val="Arial"/>
        <family val="2"/>
      </rPr>
      <t>OAR 137-050-0740</t>
    </r>
    <r>
      <rPr>
        <sz val="11"/>
        <rFont val="Arial"/>
        <family val="2"/>
      </rPr>
      <t xml:space="preserve"> in the disabled or retired parent's column. If the parent is obligated to pay support, the support obligation will be reduced by this amount.</t>
    </r>
  </si>
  <si>
    <r>
      <t xml:space="preserve">Basic support obligation (from obligation scale)
</t>
    </r>
    <r>
      <rPr>
        <sz val="11"/>
        <rFont val="Arial"/>
        <family val="2"/>
      </rPr>
      <t xml:space="preserve">Reference the </t>
    </r>
    <r>
      <rPr>
        <u val="single"/>
        <sz val="11"/>
        <color indexed="12"/>
        <rFont val="Arial"/>
        <family val="2"/>
      </rPr>
      <t>scale</t>
    </r>
    <r>
      <rPr>
        <sz val="11"/>
        <rFont val="Arial"/>
        <family val="2"/>
      </rPr>
      <t xml:space="preserve"> using the total adjusted income (line R1h) and the number of joint 
children (lines R1e+R1d). Enter this amount in the "total" column.</t>
    </r>
  </si>
  <si>
    <r>
      <t xml:space="preserve">Parenting time credit
</t>
    </r>
    <r>
      <rPr>
        <sz val="11"/>
        <rFont val="Arial"/>
        <family val="2"/>
      </rPr>
      <t>Multiply the basic support obligation (line R2a) by the number of joint minor children (line R1d), divide by the number of joint children (lines R1d + R1e), and multiply by each parent's parenting time credit percentage (line R6b).</t>
    </r>
  </si>
  <si>
    <r>
      <t xml:space="preserve">Support after credits
</t>
    </r>
    <r>
      <rPr>
        <sz val="11"/>
        <rFont val="Arial"/>
        <family val="2"/>
      </rPr>
      <t>Subtract credits (lines R6c, R6d, Rcost5, and R6e) from the support obligation after adding health care coverage costs (line R4i). This amount may be less than zero.</t>
    </r>
  </si>
  <si>
    <t>R7. WHO SHOULD PAY SUPPORT FOR MINOR CHILDREN?</t>
  </si>
  <si>
    <r>
      <t xml:space="preserve">Minor children's portion of basic support obligation
</t>
    </r>
    <r>
      <rPr>
        <sz val="11"/>
        <rFont val="Arial"/>
        <family val="2"/>
      </rPr>
      <t>Divide each parent's portion of the basic support obligation (line R2b) by the total number of joint children (line R1d + R1e) and multiply by the number of minor children (line R1d).</t>
    </r>
  </si>
  <si>
    <t>R7b</t>
  </si>
  <si>
    <t>R7c</t>
  </si>
  <si>
    <r>
      <t xml:space="preserve">Net obligation for minor children
</t>
    </r>
    <r>
      <rPr>
        <sz val="11"/>
        <rFont val="Arial"/>
        <family val="2"/>
      </rPr>
      <t xml:space="preserve">Add the minor children's portion of the basic support obligation (line R7a), each parent's share of child care costs (line R3c), and the minor children's portion of health care coverage costs (line R4h divided by total of lines R1d and R1e, multiplied by line R1d). Subtract parenting time credit (line R6c), child care credit (line R6d), and the minor children's portion of health care coverage costs credit (line R6e divided by total of lines R1d and R1e, multiplied by line R1d). May be less than zero.
</t>
    </r>
  </si>
  <si>
    <r>
      <t xml:space="preserve">Which parent(s) should pay support for minor children?
</t>
    </r>
    <r>
      <rPr>
        <sz val="11"/>
        <rFont val="Arial"/>
        <family val="2"/>
      </rPr>
      <t>Enter "</t>
    </r>
    <r>
      <rPr>
        <b/>
        <sz val="11"/>
        <rFont val="Arial"/>
        <family val="2"/>
      </rPr>
      <t>Yes</t>
    </r>
    <r>
      <rPr>
        <sz val="11"/>
        <rFont val="Arial"/>
        <family val="2"/>
      </rPr>
      <t>" in the column of the parent with the higher net support for minor children (line R7b). Enter "</t>
    </r>
    <r>
      <rPr>
        <b/>
        <sz val="11"/>
        <rFont val="Arial"/>
        <family val="2"/>
      </rPr>
      <t>No</t>
    </r>
    <r>
      <rPr>
        <sz val="11"/>
        <rFont val="Arial"/>
        <family val="2"/>
      </rPr>
      <t>" in the other parent's column. Enter "</t>
    </r>
    <r>
      <rPr>
        <b/>
        <sz val="11"/>
        <rFont val="Arial"/>
        <family val="2"/>
      </rPr>
      <t>No</t>
    </r>
    <r>
      <rPr>
        <sz val="11"/>
        <rFont val="Arial"/>
        <family val="2"/>
      </rPr>
      <t>" for both parents if the parents' line R7b figures are equal or there are no minor children (line R1d).
If the children live with a caretaker or are in state care, enter 
"</t>
    </r>
    <r>
      <rPr>
        <b/>
        <sz val="11"/>
        <rFont val="Arial"/>
        <family val="2"/>
      </rPr>
      <t>Yes</t>
    </r>
    <r>
      <rPr>
        <sz val="11"/>
        <rFont val="Arial"/>
        <family val="2"/>
      </rPr>
      <t>" in both columns.</t>
    </r>
  </si>
  <si>
    <t>R8. MINIMUM ORDER; REDUCTION FOR BENEFITS PAID TO CHILD</t>
  </si>
  <si>
    <r>
      <t xml:space="preserve">Cash child support obligation after minimum order
</t>
    </r>
    <r>
      <rPr>
        <sz val="11"/>
        <rFont val="Arial"/>
        <family val="2"/>
      </rPr>
      <t>Add amount needed to meet minimum order (line R8c) to 
support after credits (line R6f). But, if the parent should not pay support for minor children (line R7c), and there are no Children Attending School (line R1e), enter $0. If less than zero, enter $0.</t>
    </r>
  </si>
  <si>
    <t>R8e</t>
  </si>
  <si>
    <t>R8f</t>
  </si>
  <si>
    <t>R8g</t>
  </si>
  <si>
    <r>
      <rPr>
        <b/>
        <sz val="11"/>
        <rFont val="Arial"/>
        <family val="2"/>
      </rPr>
      <t xml:space="preserve">Cash child support after Social Security or veterans benefits </t>
    </r>
    <r>
      <rPr>
        <sz val="11"/>
        <rFont val="Arial"/>
        <family val="2"/>
      </rPr>
      <t>From cash child support after minimum order (line R8d), subtract reduction for Social Security or veterans benefits (line R8e). If less than zero, enter $0.</t>
    </r>
  </si>
  <si>
    <t>R8h</t>
  </si>
  <si>
    <r>
      <rPr>
        <b/>
        <sz val="11"/>
        <rFont val="Arial"/>
        <family val="2"/>
      </rPr>
      <t xml:space="preserve">Cash medical support after Social Security or veterans benefits
</t>
    </r>
    <r>
      <rPr>
        <sz val="11"/>
        <rFont val="Arial"/>
        <family val="2"/>
      </rPr>
      <t>From cash medical support (line R5b), subtract remaining reduction for Social Security or veterans benefits (line R8g). If less than zero, enter $0.</t>
    </r>
  </si>
  <si>
    <r>
      <t xml:space="preserve">Cash child support for minor children
</t>
    </r>
    <r>
      <rPr>
        <sz val="11"/>
        <rFont val="Arial"/>
        <family val="2"/>
      </rPr>
      <t>If the parent should pay support for minor children (line R7c), divide cash child support after Social Security or veterans benefits (line R8f) by the number of joint children (lines R1d + R1e) and multiply by the number of minor children (line R1d). Round to the nearest dollar. Otherwise, enter $0.</t>
    </r>
  </si>
  <si>
    <r>
      <rPr>
        <b/>
        <sz val="11"/>
        <rFont val="Arial"/>
        <family val="2"/>
      </rPr>
      <t xml:space="preserve">Cash medical support for minor children
</t>
    </r>
    <r>
      <rPr>
        <sz val="11"/>
        <rFont val="Arial"/>
        <family val="2"/>
      </rPr>
      <t>If the parent should pay support for minor children (line R7c), divide the cash medical support amount after reductions (line R8h) by the number of joint children (lines R1d + R1e) and multiply by the number of minor children (line R1d). Round to the nearest dollar. Otherwise, enter $0.</t>
    </r>
  </si>
  <si>
    <r>
      <t xml:space="preserve">Cash medical support for Children Attending School
</t>
    </r>
    <r>
      <rPr>
        <sz val="11"/>
        <rFont val="Arial"/>
        <family val="2"/>
      </rPr>
      <t>Divide the cash medical support amount after reductions (line R8h) by the number of joint children (lines R1d + R1e) and multiply by the number of Children Attending School (line R1e). Round to the nearest dollar. But, if the parent should not pay support for minor children (line R7c), enter the full amount from line R8h. Round to the nearest dollar.</t>
    </r>
  </si>
  <si>
    <r>
      <t xml:space="preserve">Cash child support for Children Attending School 
</t>
    </r>
    <r>
      <rPr>
        <sz val="11"/>
        <rFont val="Arial"/>
        <family val="2"/>
      </rPr>
      <t>Divide cash child support after Social Security or veterans benefits 
(line 8f)  by the number of joint children (lines 1d + 1e) and multiply by the number of Children Attending School (line 1e). But, if the parent should not pay support for minor children (line 7c), enter the full amount from line 8f. Round to the nearest dollar.</t>
    </r>
  </si>
  <si>
    <r>
      <t xml:space="preserve">Cash child support for Children Attending School
</t>
    </r>
    <r>
      <rPr>
        <sz val="11"/>
        <rFont val="Arial"/>
        <family val="2"/>
      </rPr>
      <t>Divide cash child support after Social Security or veterans benefits (line R8f) by the number of joint children (lines R1d + R1e) and multiply by the number of Children Attending School (line R1e). But, if the parent should not pay support for minor children (line R7c), enter the full amount from line R8f. Round to the nearest dollar.</t>
    </r>
  </si>
  <si>
    <r>
      <t xml:space="preserve">Parenting time credit percentage 
This is not the same as the percentage of parenting time.
</t>
    </r>
    <r>
      <rPr>
        <sz val="11"/>
        <rFont val="Arial"/>
        <family val="2"/>
      </rPr>
      <t xml:space="preserve">Determine the appropriate parenting time credit percentage as provided in </t>
    </r>
    <r>
      <rPr>
        <u val="single"/>
        <sz val="11"/>
        <color indexed="12"/>
        <rFont val="Arial"/>
        <family val="2"/>
      </rPr>
      <t>OAR 137-050-0730</t>
    </r>
    <r>
      <rPr>
        <sz val="11"/>
        <rFont val="Arial"/>
        <family val="2"/>
      </rPr>
      <t xml:space="preserve"> using the average number of overnights (line 6a).</t>
    </r>
  </si>
  <si>
    <r>
      <t xml:space="preserve">Parenting time credit percentage 
This is not the same as the percentage of parenting time.
</t>
    </r>
    <r>
      <rPr>
        <sz val="11"/>
        <rFont val="Arial"/>
        <family val="2"/>
      </rPr>
      <t xml:space="preserve">Determine the appropriate parenting time credit percentage as provided in </t>
    </r>
    <r>
      <rPr>
        <u val="single"/>
        <sz val="11"/>
        <color indexed="12"/>
        <rFont val="Arial"/>
        <family val="2"/>
      </rPr>
      <t>OAR 137-050-0730</t>
    </r>
    <r>
      <rPr>
        <sz val="11"/>
        <rFont val="Arial"/>
        <family val="2"/>
      </rPr>
      <t xml:space="preserve"> using the average number of overnights (line R6a).</t>
    </r>
  </si>
  <si>
    <r>
      <rPr>
        <b/>
        <sz val="11"/>
        <rFont val="Arial"/>
        <family val="2"/>
      </rPr>
      <t>Cash child support after Social Security or veterans benefits</t>
    </r>
    <r>
      <rPr>
        <sz val="11"/>
        <rFont val="Arial"/>
        <family val="2"/>
      </rPr>
      <t xml:space="preserve">
From cash child support after minimum order (line 8d), subtract reduction for Social Security or veterans benefits (line 8e). If less than zero, enter $0. </t>
    </r>
  </si>
  <si>
    <r>
      <rPr>
        <b/>
        <sz val="11"/>
        <rFont val="Arial"/>
        <family val="2"/>
      </rPr>
      <t>Cash medical support after Social Security or veterans benefits</t>
    </r>
    <r>
      <rPr>
        <sz val="11"/>
        <rFont val="Arial"/>
        <family val="2"/>
      </rPr>
      <t xml:space="preserve">
From cash medical support (line 5b), subtract remaining reduction for Social Security or veterans benefits (line 8g). If less than zero, enter $0.</t>
    </r>
  </si>
  <si>
    <r>
      <t xml:space="preserve">Cash medical support election
</t>
    </r>
    <r>
      <rPr>
        <sz val="11"/>
        <rFont val="Arial"/>
        <family val="2"/>
      </rPr>
      <t>Enter "</t>
    </r>
    <r>
      <rPr>
        <b/>
        <sz val="11"/>
        <rFont val="Arial"/>
        <family val="2"/>
      </rPr>
      <t>y</t>
    </r>
    <r>
      <rPr>
        <sz val="11"/>
        <rFont val="Arial"/>
        <family val="2"/>
      </rPr>
      <t xml:space="preserve">" for </t>
    </r>
    <r>
      <rPr>
        <b/>
        <sz val="11"/>
        <rFont val="Arial"/>
        <family val="2"/>
      </rPr>
      <t>yes</t>
    </r>
    <r>
      <rPr>
        <sz val="11"/>
        <rFont val="Arial"/>
        <family val="2"/>
      </rPr>
      <t xml:space="preserve"> if no appropriate health care coverage is available (line 4f). Cash medical will be included.
Enter "</t>
    </r>
    <r>
      <rPr>
        <b/>
        <sz val="11"/>
        <rFont val="Arial"/>
        <family val="2"/>
      </rPr>
      <t>n</t>
    </r>
    <r>
      <rPr>
        <sz val="11"/>
        <rFont val="Arial"/>
        <family val="2"/>
      </rPr>
      <t xml:space="preserve">" for </t>
    </r>
    <r>
      <rPr>
        <b/>
        <sz val="11"/>
        <rFont val="Arial"/>
        <family val="2"/>
      </rPr>
      <t>no</t>
    </r>
    <r>
      <rPr>
        <sz val="11"/>
        <rFont val="Arial"/>
        <family val="2"/>
      </rPr>
      <t xml:space="preserve"> if appropriate health care coverage is available or if a finding will be included in the order explaining why cash medical should not be included. Cash medical will be excluded.
Enter "</t>
    </r>
    <r>
      <rPr>
        <b/>
        <sz val="11"/>
        <rFont val="Arial"/>
        <family val="2"/>
      </rPr>
      <t>c</t>
    </r>
    <r>
      <rPr>
        <sz val="11"/>
        <rFont val="Arial"/>
        <family val="2"/>
      </rPr>
      <t xml:space="preserve">" for </t>
    </r>
    <r>
      <rPr>
        <b/>
        <sz val="11"/>
        <rFont val="Arial"/>
        <family val="2"/>
      </rPr>
      <t>contingent</t>
    </r>
    <r>
      <rPr>
        <sz val="11"/>
        <rFont val="Arial"/>
        <family val="2"/>
      </rPr>
      <t xml:space="preserve"> if the obligated parent will pay cash medical support whenever the obligated parent does not provide health care coverage. Contingent cash medical will be included.</t>
    </r>
  </si>
  <si>
    <r>
      <t xml:space="preserve">Cash medical support election
</t>
    </r>
    <r>
      <rPr>
        <sz val="11"/>
        <rFont val="Arial"/>
        <family val="2"/>
      </rPr>
      <t>Enter "</t>
    </r>
    <r>
      <rPr>
        <b/>
        <sz val="11"/>
        <rFont val="Arial"/>
        <family val="2"/>
      </rPr>
      <t>y</t>
    </r>
    <r>
      <rPr>
        <sz val="11"/>
        <rFont val="Arial"/>
        <family val="2"/>
      </rPr>
      <t xml:space="preserve">" for </t>
    </r>
    <r>
      <rPr>
        <b/>
        <sz val="11"/>
        <rFont val="Arial"/>
        <family val="2"/>
      </rPr>
      <t>yes</t>
    </r>
    <r>
      <rPr>
        <sz val="11"/>
        <rFont val="Arial"/>
        <family val="2"/>
      </rPr>
      <t xml:space="preserve"> if no appropriate health care coverage is available (line R4f). Cash medical will be included.
Enter "</t>
    </r>
    <r>
      <rPr>
        <b/>
        <sz val="11"/>
        <rFont val="Arial"/>
        <family val="2"/>
      </rPr>
      <t>n</t>
    </r>
    <r>
      <rPr>
        <sz val="11"/>
        <rFont val="Arial"/>
        <family val="2"/>
      </rPr>
      <t xml:space="preserve">" for </t>
    </r>
    <r>
      <rPr>
        <b/>
        <sz val="11"/>
        <rFont val="Arial"/>
        <family val="2"/>
      </rPr>
      <t>no</t>
    </r>
    <r>
      <rPr>
        <sz val="11"/>
        <rFont val="Arial"/>
        <family val="2"/>
      </rPr>
      <t xml:space="preserve"> if appropriate health care coverage is available or if a finding will be included in the order explaining why cash medical should not be included. Cash medical will be excluded.
Enter "</t>
    </r>
    <r>
      <rPr>
        <b/>
        <sz val="11"/>
        <rFont val="Arial"/>
        <family val="2"/>
      </rPr>
      <t>c</t>
    </r>
    <r>
      <rPr>
        <sz val="11"/>
        <rFont val="Arial"/>
        <family val="2"/>
      </rPr>
      <t xml:space="preserve">" for </t>
    </r>
    <r>
      <rPr>
        <b/>
        <sz val="11"/>
        <rFont val="Arial"/>
        <family val="2"/>
      </rPr>
      <t>contingent</t>
    </r>
    <r>
      <rPr>
        <sz val="11"/>
        <rFont val="Arial"/>
        <family val="2"/>
      </rPr>
      <t xml:space="preserve"> if the obligated parent will pay cash medical support whenever the obligated parent does not provide health care coverage. Contingent cash medical will be included.</t>
    </r>
  </si>
  <si>
    <r>
      <t xml:space="preserve">Cash medical support amount
</t>
    </r>
    <r>
      <rPr>
        <sz val="11"/>
        <rFont val="Arial"/>
        <family val="2"/>
      </rPr>
      <t>If line R5a is "</t>
    </r>
    <r>
      <rPr>
        <b/>
        <sz val="11"/>
        <rFont val="Arial"/>
        <family val="2"/>
      </rPr>
      <t>y</t>
    </r>
    <r>
      <rPr>
        <sz val="11"/>
        <rFont val="Arial"/>
        <family val="2"/>
      </rPr>
      <t>", enter each parent's reasonable cost amount
(line R4c).
If line R5a is "</t>
    </r>
    <r>
      <rPr>
        <b/>
        <sz val="11"/>
        <rFont val="Arial"/>
        <family val="2"/>
      </rPr>
      <t>n</t>
    </r>
    <r>
      <rPr>
        <sz val="11"/>
        <rFont val="Arial"/>
        <family val="2"/>
      </rPr>
      <t>", enter $0.
If line R5a is "</t>
    </r>
    <r>
      <rPr>
        <b/>
        <sz val="11"/>
        <rFont val="Arial"/>
        <family val="2"/>
      </rPr>
      <t>c</t>
    </r>
    <r>
      <rPr>
        <sz val="11"/>
        <rFont val="Arial"/>
        <family val="2"/>
      </rPr>
      <t>" enter each parent's reasonable cost amount
(line R4c).</t>
    </r>
  </si>
  <si>
    <r>
      <t xml:space="preserve">Which parent(s) should pay support for minor children?
</t>
    </r>
    <r>
      <rPr>
        <sz val="11"/>
        <rFont val="Arial"/>
        <family val="2"/>
      </rPr>
      <t>Enter "</t>
    </r>
    <r>
      <rPr>
        <b/>
        <sz val="11"/>
        <rFont val="Arial"/>
        <family val="2"/>
      </rPr>
      <t>Yes</t>
    </r>
    <r>
      <rPr>
        <sz val="11"/>
        <rFont val="Arial"/>
        <family val="2"/>
      </rPr>
      <t>" in the column of the parent with the higher net support for minor children (line 7b). Enter "</t>
    </r>
    <r>
      <rPr>
        <b/>
        <sz val="11"/>
        <rFont val="Arial"/>
        <family val="2"/>
      </rPr>
      <t>No</t>
    </r>
    <r>
      <rPr>
        <sz val="11"/>
        <rFont val="Arial"/>
        <family val="2"/>
      </rPr>
      <t>" in the other parent's column. Enter "</t>
    </r>
    <r>
      <rPr>
        <b/>
        <sz val="11"/>
        <rFont val="Arial"/>
        <family val="2"/>
      </rPr>
      <t>No</t>
    </r>
    <r>
      <rPr>
        <sz val="11"/>
        <rFont val="Arial"/>
        <family val="2"/>
      </rPr>
      <t>" for both parents if the parents' line 7b figures are equal or there are no minor children (line 1d).</t>
    </r>
    <r>
      <rPr>
        <b/>
        <sz val="11"/>
        <rFont val="Arial"/>
        <family val="2"/>
      </rPr>
      <t xml:space="preserve">
</t>
    </r>
    <r>
      <rPr>
        <sz val="11"/>
        <rFont val="Arial"/>
        <family val="2"/>
      </rPr>
      <t>If the children live with a caretaker or are in state care, enter 
"</t>
    </r>
    <r>
      <rPr>
        <b/>
        <sz val="11"/>
        <rFont val="Arial"/>
        <family val="2"/>
      </rPr>
      <t>Yes</t>
    </r>
    <r>
      <rPr>
        <sz val="11"/>
        <rFont val="Arial"/>
        <family val="2"/>
      </rPr>
      <t>" in both columns.</t>
    </r>
  </si>
  <si>
    <r>
      <t xml:space="preserve">Reduction for Social Security or veterans benefits
</t>
    </r>
    <r>
      <rPr>
        <sz val="11"/>
        <rFont val="Arial"/>
        <family val="2"/>
      </rPr>
      <t xml:space="preserve">Enter the amount of benefits paid to the joint child because of a parent's disability or retirement as provided in </t>
    </r>
    <r>
      <rPr>
        <u val="single"/>
        <sz val="11"/>
        <color indexed="12"/>
        <rFont val="Arial"/>
        <family val="2"/>
      </rPr>
      <t>OAR 137-050-
0740</t>
    </r>
    <r>
      <rPr>
        <sz val="11"/>
        <rFont val="Arial"/>
        <family val="2"/>
      </rPr>
      <t xml:space="preserve"> in the disabled or retired parent's column. If the parent is obligated to pay support, the support obligation will be reduced by this amount.</t>
    </r>
  </si>
  <si>
    <r>
      <rPr>
        <b/>
        <sz val="11"/>
        <rFont val="Arial"/>
        <family val="2"/>
      </rPr>
      <t xml:space="preserve">Total support payment obligation, including medical support
</t>
    </r>
    <r>
      <rPr>
        <sz val="11"/>
        <rFont val="Arial"/>
        <family val="2"/>
      </rPr>
      <t>To each parent's support obligation after credits (line R6f), add the greater of the health care coverage premium costs that will 
be ordered (line R6e) or cash medical support (line R5b).</t>
    </r>
  </si>
  <si>
    <r>
      <t>Remaining reduction to apply to cash medical support</t>
    </r>
    <r>
      <rPr>
        <sz val="11"/>
        <rFont val="Arial"/>
        <family val="2"/>
      </rPr>
      <t xml:space="preserve">
Enter the amount of Social Security or veterans benefits in excess of cash child support (line 8e minus line 8d). If less than zero, enter $0.</t>
    </r>
  </si>
  <si>
    <r>
      <rPr>
        <b/>
        <sz val="11"/>
        <rFont val="Arial"/>
        <family val="2"/>
      </rPr>
      <t xml:space="preserve">Remaining reduction to apply to cash medical support
</t>
    </r>
    <r>
      <rPr>
        <sz val="11"/>
        <rFont val="Arial"/>
        <family val="2"/>
      </rPr>
      <t>Enter the amount of Social Security or veterans benefits in excess of cash child support (line R8e minus line R8d). If less than zero, enter $0.</t>
    </r>
  </si>
  <si>
    <t>None</t>
  </si>
  <si>
    <t>No</t>
  </si>
  <si>
    <t>Either parent when available</t>
  </si>
  <si>
    <r>
      <rPr>
        <b/>
        <sz val="11"/>
        <rFont val="Arial"/>
        <family val="2"/>
      </rPr>
      <t xml:space="preserve">Is there a need to apply an exception to the minimum order presumption? 
</t>
    </r>
    <r>
      <rPr>
        <sz val="11"/>
        <rFont val="Arial"/>
        <family val="2"/>
      </rPr>
      <t xml:space="preserve">If line R8a is less than $100 and the parent has an exception to the minimum order as provided in </t>
    </r>
    <r>
      <rPr>
        <u val="single"/>
        <sz val="11"/>
        <color indexed="12"/>
        <rFont val="Arial"/>
        <family val="2"/>
      </rPr>
      <t>OAR 137-050-0755</t>
    </r>
    <r>
      <rPr>
        <sz val="11"/>
        <rFont val="Arial"/>
        <family val="2"/>
      </rPr>
      <t xml:space="preserve">, enter </t>
    </r>
    <r>
      <rPr>
        <b/>
        <sz val="11"/>
        <rFont val="Arial"/>
        <family val="2"/>
      </rPr>
      <t xml:space="preserve">"yes" </t>
    </r>
    <r>
      <rPr>
        <sz val="11"/>
        <rFont val="Arial"/>
        <family val="2"/>
      </rPr>
      <t xml:space="preserve">in that parent's column. Otherwise, enter </t>
    </r>
    <r>
      <rPr>
        <b/>
        <sz val="11"/>
        <rFont val="Arial"/>
        <family val="2"/>
      </rPr>
      <t>"no"</t>
    </r>
    <r>
      <rPr>
        <sz val="11"/>
        <rFont val="Arial"/>
        <family val="2"/>
      </rPr>
      <t xml:space="preserve">. </t>
    </r>
  </si>
  <si>
    <r>
      <rPr>
        <b/>
        <sz val="11"/>
        <rFont val="Arial"/>
        <family val="2"/>
      </rPr>
      <t>Is there a need to apply an exception to the minimum order presumption?</t>
    </r>
    <r>
      <rPr>
        <sz val="11"/>
        <rFont val="Arial"/>
        <family val="2"/>
      </rPr>
      <t xml:space="preserve">
If line 8a is less than $100 and the parent has an exception to the minimum order as provided in </t>
    </r>
    <r>
      <rPr>
        <u val="single"/>
        <sz val="11"/>
        <color indexed="12"/>
        <rFont val="Arial"/>
        <family val="2"/>
      </rPr>
      <t>OAR 137-050-0755</t>
    </r>
    <r>
      <rPr>
        <sz val="11"/>
        <rFont val="Arial"/>
        <family val="2"/>
      </rPr>
      <t>, enter "</t>
    </r>
    <r>
      <rPr>
        <b/>
        <sz val="11"/>
        <rFont val="Arial"/>
        <family val="2"/>
      </rPr>
      <t>yes</t>
    </r>
    <r>
      <rPr>
        <sz val="11"/>
        <rFont val="Arial"/>
        <family val="2"/>
      </rPr>
      <t>" in that parent's column. Otherwise, enter "</t>
    </r>
    <r>
      <rPr>
        <b/>
        <sz val="11"/>
        <rFont val="Arial"/>
        <family val="2"/>
      </rPr>
      <t>no</t>
    </r>
    <r>
      <rPr>
        <sz val="11"/>
        <rFont val="Arial"/>
        <family val="2"/>
      </rPr>
      <t>."</t>
    </r>
  </si>
  <si>
    <r>
      <t xml:space="preserve">Determine whose coverage is available at a reasonable cost 
</t>
    </r>
    <r>
      <rPr>
        <sz val="11"/>
        <rFont val="Arial"/>
        <family val="2"/>
      </rPr>
      <t>Compare each parent's health care coverage cost (line 4a) to the total reasonable cost amount (line 4c). Indicate by name who can provide coverage: neither parent, one parent, either parent, or both parents. Only include a parent with income at or below Oregon's highest minimum wage if that parent's coverage is available at no cost.</t>
    </r>
  </si>
  <si>
    <r>
      <t xml:space="preserve">Order health care coverage at a higher amount?
</t>
    </r>
    <r>
      <rPr>
        <sz val="11"/>
        <rFont val="Arial"/>
        <family val="2"/>
      </rPr>
      <t xml:space="preserve">Enter </t>
    </r>
    <r>
      <rPr>
        <b/>
        <sz val="11"/>
        <rFont val="Arial"/>
        <family val="2"/>
      </rPr>
      <t>"yes"</t>
    </r>
    <r>
      <rPr>
        <sz val="11"/>
        <rFont val="Arial"/>
        <family val="2"/>
      </rPr>
      <t xml:space="preserve"> to find any available health care coverage reasonable in cost even though it exceeds the amount in line 4c. This may leave the parents with less than the self-support reserve (line 1j), but may not require a parent with income at or below Oregon's highest minimum wage to pay. Update line 4d. Otherwise, enter </t>
    </r>
    <r>
      <rPr>
        <b/>
        <sz val="11"/>
        <rFont val="Arial"/>
        <family val="2"/>
      </rPr>
      <t>"no".</t>
    </r>
  </si>
  <si>
    <r>
      <t xml:space="preserve">Reasonable cost for health care coverage
</t>
    </r>
    <r>
      <rPr>
        <sz val="11"/>
        <rFont val="Arial"/>
        <family val="2"/>
      </rPr>
      <t xml:space="preserve">Enter the lesser of each parent's income available for health care coverage (line 4b) or 4% of each parent's adjusted income (line 1h). Enter $0 if the parent's income (line 1a) is at or below Oregon's highest minimum wage. Round to the nearest dollar. Total the results under </t>
    </r>
    <r>
      <rPr>
        <b/>
        <sz val="11"/>
        <rFont val="Arial"/>
        <family val="2"/>
      </rPr>
      <t>total</t>
    </r>
    <r>
      <rPr>
        <sz val="11"/>
        <rFont val="Arial"/>
        <family val="2"/>
      </rPr>
      <t>.</t>
    </r>
  </si>
  <si>
    <r>
      <t xml:space="preserve">Reasonable cost for health care coverage
</t>
    </r>
    <r>
      <rPr>
        <sz val="11"/>
        <rFont val="Arial"/>
        <family val="2"/>
      </rPr>
      <t xml:space="preserve">Enter the lesser of each parent's income available for health 
care coverage (line R4b) or 4% of each parent's adjusted 
income (line R1h). Enter $0 if the parent's income (line R1a) is 
at or below Oregon's highest minimum wage. Round to the nearest dollar. Total the results under </t>
    </r>
    <r>
      <rPr>
        <b/>
        <sz val="11"/>
        <rFont val="Arial"/>
        <family val="2"/>
      </rPr>
      <t>total</t>
    </r>
    <r>
      <rPr>
        <sz val="11"/>
        <rFont val="Arial"/>
        <family val="2"/>
      </rPr>
      <t>.</t>
    </r>
  </si>
  <si>
    <r>
      <t xml:space="preserve">Determine whose coverage is available at a reasonable cost 
</t>
    </r>
    <r>
      <rPr>
        <sz val="11"/>
        <rFont val="Arial"/>
        <family val="2"/>
      </rPr>
      <t>Compare each parent's health care coverage cost (line R4a) to the total reasonable cost amount (line R4c). Indicate by name who can provide coverage: neither parent, one parent, either parent, or both parents. Only include a parent with income at or below Oregon's highest minimum wage if that parent's coverage is available at no cost.</t>
    </r>
  </si>
  <si>
    <r>
      <t xml:space="preserve">Order health care coverage at a higher amount?
</t>
    </r>
    <r>
      <rPr>
        <sz val="11"/>
        <rFont val="Arial"/>
        <family val="2"/>
      </rPr>
      <t xml:space="preserve">Enter </t>
    </r>
    <r>
      <rPr>
        <b/>
        <sz val="11"/>
        <rFont val="Arial"/>
        <family val="2"/>
      </rPr>
      <t>"yes"</t>
    </r>
    <r>
      <rPr>
        <sz val="11"/>
        <rFont val="Arial"/>
        <family val="2"/>
      </rPr>
      <t xml:space="preserve"> to find any available health care coverage 
reasonable in cost even though it exceeds the amount in line 
R4c. This may leave the parents with less than the self-support reserve (line R1j), but may not require a parent with income at or below Oregon's highest minimum wage to pay. Update line R4d.
Otherwise, enter </t>
    </r>
    <r>
      <rPr>
        <b/>
        <sz val="11"/>
        <rFont val="Arial"/>
        <family val="2"/>
      </rPr>
      <t>"no"</t>
    </r>
    <r>
      <rPr>
        <sz val="11"/>
        <rFont val="Arial"/>
        <family val="2"/>
      </rPr>
      <t>.</t>
    </r>
  </si>
  <si>
    <t>Highest Minimum wage</t>
  </si>
  <si>
    <t>The highest level of the Oregon minimum wage is used for determining the reasonable in cost cap for health care coverage.</t>
  </si>
  <si>
    <r>
      <t xml:space="preserve">Income available for support
</t>
    </r>
    <r>
      <rPr>
        <sz val="11"/>
        <rFont val="Arial"/>
        <family val="2"/>
      </rPr>
      <t>Subtract the $1173 self-support reserve from each parent's adjusted income (line 1h). If less than zero, enter $0.</t>
    </r>
  </si>
  <si>
    <r>
      <t>Income available for support</t>
    </r>
    <r>
      <rPr>
        <sz val="11"/>
        <rFont val="Arial"/>
        <family val="2"/>
      </rPr>
      <t xml:space="preserve">
Subtract the $1173 self-support reserve from each parent's adjusted income (line R1h). If less than zero, enter $0.</t>
    </r>
  </si>
</sst>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
    <numFmt numFmtId="166" formatCode="[$-409]dddd\,\ mmmm\ dd\,\ yyyy"/>
    <numFmt numFmtId="167" formatCode="[$-409]h:mm:ss\ AM/PM"/>
    <numFmt numFmtId="168" formatCode="0.0%"/>
    <numFmt numFmtId="169" formatCode="&quot;Yes&quot;;&quot;Yes&quot;;&quot;No&quot;"/>
    <numFmt numFmtId="170" formatCode="&quot;True&quot;;&quot;True&quot;;&quot;False&quot;"/>
    <numFmt numFmtId="171" formatCode="&quot;On&quot;;&quot;On&quot;;&quot;Off&quot;"/>
    <numFmt numFmtId="172" formatCode="[$€-2]\ #,##0.00_);[Red]\([$€-2]\ #,##0.00\)"/>
    <numFmt numFmtId="173" formatCode="&quot;$&quot;#,##0.0"/>
    <numFmt numFmtId="174" formatCode="0.000%"/>
    <numFmt numFmtId="175" formatCode="&quot;$&quot;#,##0.000_);\(&quot;$&quot;#,##0.000\)"/>
    <numFmt numFmtId="176" formatCode="&quot;$&quot;#,##0.0000_);\(&quot;$&quot;#,##0.0000\)"/>
    <numFmt numFmtId="177" formatCode="&quot;$&quot;#,##0"/>
    <numFmt numFmtId="178" formatCode="&quot;$&quot;#,##0.000"/>
    <numFmt numFmtId="179" formatCode="&quot;Yes&quot;;&quot;Yes&quot;;&quot;No&quot;;&quot;&quot;"/>
    <numFmt numFmtId="180" formatCode="&quot;Yes&quot;;&quot;Yes&quot;;&quot;&quot;;&quot;No&quot;"/>
    <numFmt numFmtId="181" formatCode="&quot;Yes&quot;;&quot;&quot;;&quot;No&quot;"/>
    <numFmt numFmtId="182" formatCode="&quot;Yes&quot;;&quot;&quot;;&quot;No&quot;;@"/>
    <numFmt numFmtId="183" formatCode="&quot;Yes&quot;;&quot;No&quot;;&quot;&quot;;@"/>
    <numFmt numFmtId="184" formatCode="&quot;$&quot;#,##0.0_);\(&quot;$&quot;#,##0.0\)"/>
    <numFmt numFmtId="185" formatCode="0.00_);\(0.00\)"/>
    <numFmt numFmtId="186" formatCode="[$-F400]h:mm:ss\ AM/PM"/>
    <numFmt numFmtId="187" formatCode="&quot;$&quot;* #,##0.00;&quot;$&quot;* \-#,##0.00;&quot;$&quot;* #,##0.00;&quot;$&quot;* "/>
    <numFmt numFmtId="188" formatCode="&quot;$&quot;* \ #,##0.00;&quot;$&quot;* \ \-#,##0.00;&quot;$&quot;* \ #,##0.00;&quot;$&quot;* \ "/>
    <numFmt numFmtId="189" formatCode="&quot;$&quot;* \ #,##0.00;&quot;$&quot;* \ \-#,##0.00;&quot;$&quot;* \ #,##0.00;"/>
    <numFmt numFmtId="190" formatCode="&quot;$&quot;* \ #,##0.00;&quot;$&quot;* \ \-#,##0.00;&quot;$&quot;* \ #,##0.00;_(@_)"/>
    <numFmt numFmtId="191" formatCode="&quot;$&quot;* \ #,##0.00;&quot;$&quot;* \ \-#,##0.00;&quot;$&quot;* \ #,##0.00;* _(@_)"/>
    <numFmt numFmtId="192" formatCode="&quot;$&quot;* \ #,##0.00;&quot;$&quot;* \ \-#,##0.00;&quot;$&quot;* \ #,##0.00;* @"/>
    <numFmt numFmtId="193" formatCode="&quot;$&quot;* \ #,##0.00;&quot;$&quot;* \ \-#,##0.00;&quot;$&quot;* \ #,##0.00;\ * @"/>
    <numFmt numFmtId="194" formatCode="&quot;$&quot;* #,##0.00* ;&quot;$&quot;* \-#,##0.00* ;&quot;$&quot;* #,##0.00* ;&quot;$&quot;* "/>
    <numFmt numFmtId="195" formatCode="_(&quot;$&quot;* #,##0.00_);_(&quot;$&quot;* \(#,##0.00\);_(&quot;$&quot;* #,##0.00_);* _(@_)"/>
    <numFmt numFmtId="196" formatCode="_(&quot;$&quot;* #,##0.00_);_(&quot;$&quot;* \(#,##0.00\);_(&quot;$&quot;* #,##0.00_);_(&quot;$&quot;* "/>
    <numFmt numFmtId="197" formatCode="_(&quot;$&quot;* \ #,##0.00_);_(&quot;$&quot;* \ \(#,##0.00\);_(&quot;$&quot;* \ #,##0.00_);_(\ * @"/>
  </numFmts>
  <fonts count="113">
    <font>
      <sz val="10"/>
      <name val="Arial"/>
      <family val="0"/>
    </font>
    <font>
      <sz val="11"/>
      <color indexed="8"/>
      <name val="Calibri"/>
      <family val="2"/>
    </font>
    <font>
      <b/>
      <sz val="10"/>
      <name val="Arial"/>
      <family val="2"/>
    </font>
    <font>
      <sz val="8"/>
      <name val="Arial"/>
      <family val="2"/>
    </font>
    <font>
      <b/>
      <u val="single"/>
      <sz val="10"/>
      <name val="Arial"/>
      <family val="2"/>
    </font>
    <font>
      <u val="single"/>
      <sz val="10"/>
      <color indexed="12"/>
      <name val="Arial"/>
      <family val="2"/>
    </font>
    <font>
      <b/>
      <u val="single"/>
      <sz val="12"/>
      <name val="Arial"/>
      <family val="2"/>
    </font>
    <font>
      <sz val="12"/>
      <name val="Times New Roman"/>
      <family val="1"/>
    </font>
    <font>
      <b/>
      <sz val="12"/>
      <name val="Arial"/>
      <family val="2"/>
    </font>
    <font>
      <sz val="12"/>
      <name val="Arial"/>
      <family val="2"/>
    </font>
    <font>
      <i/>
      <sz val="11"/>
      <name val="Arial"/>
      <family val="2"/>
    </font>
    <font>
      <i/>
      <sz val="10"/>
      <name val="Arial"/>
      <family val="2"/>
    </font>
    <font>
      <sz val="11"/>
      <name val="Arial"/>
      <family val="2"/>
    </font>
    <font>
      <b/>
      <sz val="12"/>
      <name val="Verdana"/>
      <family val="2"/>
    </font>
    <font>
      <b/>
      <i/>
      <sz val="12"/>
      <color indexed="10"/>
      <name val="Arial"/>
      <family val="2"/>
    </font>
    <font>
      <sz val="10"/>
      <name val="Verdana"/>
      <family val="2"/>
    </font>
    <font>
      <b/>
      <i/>
      <u val="single"/>
      <sz val="12"/>
      <name val="Arial"/>
      <family val="2"/>
    </font>
    <font>
      <b/>
      <sz val="11"/>
      <name val="Verdana"/>
      <family val="2"/>
    </font>
    <font>
      <sz val="9"/>
      <name val="Verdana"/>
      <family val="2"/>
    </font>
    <font>
      <sz val="11"/>
      <name val="Verdana"/>
      <family val="2"/>
    </font>
    <font>
      <b/>
      <sz val="11"/>
      <name val="Arial"/>
      <family val="2"/>
    </font>
    <font>
      <b/>
      <i/>
      <sz val="11"/>
      <name val="Arial"/>
      <family val="2"/>
    </font>
    <font>
      <b/>
      <u val="single"/>
      <sz val="11"/>
      <name val="Arial"/>
      <family val="2"/>
    </font>
    <font>
      <i/>
      <sz val="11"/>
      <name val="Verdana"/>
      <family val="2"/>
    </font>
    <font>
      <i/>
      <sz val="9"/>
      <name val="Arial"/>
      <family val="2"/>
    </font>
    <font>
      <u val="single"/>
      <sz val="11"/>
      <color indexed="12"/>
      <name val="Arial"/>
      <family val="2"/>
    </font>
    <font>
      <sz val="11"/>
      <color indexed="12"/>
      <name val="Arial"/>
      <family val="2"/>
    </font>
    <font>
      <sz val="10"/>
      <color indexed="12"/>
      <name val="Arial"/>
      <family val="2"/>
    </font>
    <font>
      <u val="single"/>
      <sz val="11"/>
      <name val="Arial"/>
      <family val="2"/>
    </font>
    <font>
      <b/>
      <i/>
      <u val="single"/>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9"/>
      <name val="Arial"/>
      <family val="2"/>
    </font>
    <font>
      <sz val="10"/>
      <color indexed="9"/>
      <name val="Arial"/>
      <family val="2"/>
    </font>
    <font>
      <sz val="12"/>
      <color indexed="9"/>
      <name val="Arial"/>
      <family val="2"/>
    </font>
    <font>
      <b/>
      <u val="single"/>
      <sz val="12"/>
      <color indexed="9"/>
      <name val="Arial"/>
      <family val="2"/>
    </font>
    <font>
      <b/>
      <sz val="10"/>
      <color indexed="9"/>
      <name val="Arial"/>
      <family val="2"/>
    </font>
    <font>
      <b/>
      <i/>
      <u val="single"/>
      <sz val="12"/>
      <color indexed="9"/>
      <name val="Arial"/>
      <family val="2"/>
    </font>
    <font>
      <b/>
      <sz val="11"/>
      <color indexed="9"/>
      <name val="Arial"/>
      <family val="2"/>
    </font>
    <font>
      <sz val="11"/>
      <color indexed="9"/>
      <name val="Arial"/>
      <family val="2"/>
    </font>
    <font>
      <b/>
      <u val="single"/>
      <sz val="11"/>
      <color indexed="9"/>
      <name val="Arial"/>
      <family val="2"/>
    </font>
    <font>
      <b/>
      <sz val="12"/>
      <color indexed="9"/>
      <name val="Verdana"/>
      <family val="2"/>
    </font>
    <font>
      <b/>
      <i/>
      <sz val="11"/>
      <color indexed="9"/>
      <name val="Arial"/>
      <family val="2"/>
    </font>
    <font>
      <b/>
      <sz val="11"/>
      <color indexed="9"/>
      <name val="Verdana"/>
      <family val="2"/>
    </font>
    <font>
      <sz val="11"/>
      <color indexed="9"/>
      <name val="Verdana"/>
      <family val="2"/>
    </font>
    <font>
      <sz val="13"/>
      <color indexed="9"/>
      <name val="Arial"/>
      <family val="2"/>
    </font>
    <font>
      <b/>
      <i/>
      <sz val="12"/>
      <color indexed="9"/>
      <name val="Arial"/>
      <family val="2"/>
    </font>
    <font>
      <i/>
      <sz val="10"/>
      <color indexed="9"/>
      <name val="Arial"/>
      <family val="2"/>
    </font>
    <font>
      <i/>
      <u val="single"/>
      <sz val="12"/>
      <color indexed="9"/>
      <name val="Arial"/>
      <family val="2"/>
    </font>
    <font>
      <i/>
      <sz val="11"/>
      <color indexed="9"/>
      <name val="Arial"/>
      <family val="2"/>
    </font>
    <font>
      <sz val="11"/>
      <color indexed="10"/>
      <name val="Arial"/>
      <family val="2"/>
    </font>
    <font>
      <b/>
      <sz val="12"/>
      <color indexed="22"/>
      <name val="Arial"/>
      <family val="2"/>
    </font>
    <font>
      <b/>
      <sz val="11"/>
      <color indexed="10"/>
      <name val="Arial"/>
      <family val="2"/>
    </font>
    <font>
      <sz val="10"/>
      <color indexed="9"/>
      <name val="Verdana"/>
      <family val="2"/>
    </font>
    <font>
      <i/>
      <sz val="12"/>
      <color indexed="9"/>
      <name val="Arial"/>
      <family val="2"/>
    </font>
    <font>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Arial"/>
      <family val="2"/>
    </font>
    <font>
      <sz val="10"/>
      <color theme="0"/>
      <name val="Arial"/>
      <family val="2"/>
    </font>
    <font>
      <sz val="12"/>
      <color theme="0"/>
      <name val="Arial"/>
      <family val="2"/>
    </font>
    <font>
      <b/>
      <u val="single"/>
      <sz val="12"/>
      <color theme="0"/>
      <name val="Arial"/>
      <family val="2"/>
    </font>
    <font>
      <b/>
      <sz val="10"/>
      <color theme="0"/>
      <name val="Arial"/>
      <family val="2"/>
    </font>
    <font>
      <b/>
      <i/>
      <u val="single"/>
      <sz val="12"/>
      <color theme="0"/>
      <name val="Arial"/>
      <family val="2"/>
    </font>
    <font>
      <b/>
      <sz val="11"/>
      <color theme="0"/>
      <name val="Arial"/>
      <family val="2"/>
    </font>
    <font>
      <sz val="11"/>
      <color theme="0"/>
      <name val="Arial"/>
      <family val="2"/>
    </font>
    <font>
      <b/>
      <u val="single"/>
      <sz val="11"/>
      <color theme="0"/>
      <name val="Arial"/>
      <family val="2"/>
    </font>
    <font>
      <b/>
      <sz val="12"/>
      <color theme="0"/>
      <name val="Verdana"/>
      <family val="2"/>
    </font>
    <font>
      <b/>
      <i/>
      <sz val="11"/>
      <color theme="0"/>
      <name val="Arial"/>
      <family val="2"/>
    </font>
    <font>
      <b/>
      <sz val="11"/>
      <color theme="0"/>
      <name val="Verdana"/>
      <family val="2"/>
    </font>
    <font>
      <sz val="11"/>
      <color theme="0"/>
      <name val="Verdana"/>
      <family val="2"/>
    </font>
    <font>
      <sz val="13"/>
      <color theme="0"/>
      <name val="Arial"/>
      <family val="2"/>
    </font>
    <font>
      <b/>
      <i/>
      <sz val="12"/>
      <color theme="0"/>
      <name val="Arial"/>
      <family val="2"/>
    </font>
    <font>
      <i/>
      <sz val="10"/>
      <color theme="0"/>
      <name val="Arial"/>
      <family val="2"/>
    </font>
    <font>
      <i/>
      <u val="single"/>
      <sz val="12"/>
      <color theme="0"/>
      <name val="Arial"/>
      <family val="2"/>
    </font>
    <font>
      <i/>
      <sz val="11"/>
      <color theme="0"/>
      <name val="Arial"/>
      <family val="2"/>
    </font>
    <font>
      <sz val="11"/>
      <color rgb="FFFF0000"/>
      <name val="Arial"/>
      <family val="2"/>
    </font>
    <font>
      <b/>
      <sz val="12"/>
      <color theme="0" tint="-0.1499900072813034"/>
      <name val="Arial"/>
      <family val="2"/>
    </font>
    <font>
      <b/>
      <sz val="11"/>
      <color rgb="FFFF0000"/>
      <name val="Arial"/>
      <family val="2"/>
    </font>
    <font>
      <sz val="10"/>
      <color theme="0"/>
      <name val="Verdana"/>
      <family val="2"/>
    </font>
    <font>
      <sz val="10"/>
      <color rgb="FF0000FF"/>
      <name val="Arial"/>
      <family val="2"/>
    </font>
    <font>
      <i/>
      <sz val="12"/>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CCFFCC"/>
        <bgColor indexed="64"/>
      </patternFill>
    </fill>
    <fill>
      <patternFill patternType="solid">
        <fgColor rgb="FFFFFF99"/>
        <bgColor indexed="64"/>
      </patternFill>
    </fill>
    <fill>
      <patternFill patternType="solid">
        <fgColor indexed="43"/>
        <bgColor indexed="64"/>
      </patternFill>
    </fill>
    <fill>
      <patternFill patternType="solid">
        <fgColor indexed="47"/>
        <bgColor indexed="64"/>
      </patternFill>
    </fill>
    <fill>
      <patternFill patternType="solid">
        <fgColor indexed="65"/>
        <bgColor indexed="64"/>
      </patternFill>
    </fill>
    <fill>
      <patternFill patternType="solid">
        <fgColor theme="0"/>
        <bgColor indexed="64"/>
      </patternFill>
    </fill>
    <fill>
      <patternFill patternType="lightTrellis">
        <bgColor theme="0"/>
      </patternFill>
    </fill>
    <fill>
      <patternFill patternType="solid">
        <fgColor indexed="42"/>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style="medium"/>
      <right/>
      <top/>
      <bottom style="medium"/>
    </border>
    <border>
      <left/>
      <right/>
      <top/>
      <bottom style="medium"/>
    </border>
    <border>
      <left/>
      <right style="thin"/>
      <top/>
      <bottom style="medium"/>
    </border>
    <border>
      <left style="thin"/>
      <right style="thin"/>
      <top/>
      <bottom style="medium"/>
    </border>
    <border>
      <left style="thin"/>
      <right style="medium"/>
      <top/>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right/>
      <top/>
      <bottom style="thin"/>
    </border>
    <border>
      <left style="thin"/>
      <right/>
      <top style="thin"/>
      <bottom/>
    </border>
    <border>
      <left style="thin"/>
      <right/>
      <top style="thin"/>
      <bottom style="thin"/>
    </border>
    <border>
      <left/>
      <right style="thin"/>
      <top/>
      <bottom style="thin"/>
    </border>
    <border>
      <left style="thin"/>
      <right/>
      <top/>
      <bottom style="thin"/>
    </border>
    <border>
      <left/>
      <right style="thin"/>
      <top/>
      <bottom/>
    </border>
    <border>
      <left style="thin"/>
      <right/>
      <top/>
      <bottom/>
    </border>
    <border>
      <left style="thin"/>
      <right style="thin"/>
      <top style="thin"/>
      <bottom/>
    </border>
    <border>
      <left/>
      <right/>
      <top style="thin"/>
      <bottom/>
    </border>
    <border>
      <left/>
      <right style="thin"/>
      <top style="thin"/>
      <bottom/>
    </border>
    <border>
      <left style="thin"/>
      <right style="thin"/>
      <top/>
      <bottom/>
    </border>
    <border>
      <left/>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thin"/>
    </border>
    <border>
      <left style="thin"/>
      <right style="medium"/>
      <top style="medium"/>
      <bottom style="thin"/>
    </border>
    <border>
      <left/>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thin"/>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599">
    <xf numFmtId="0" fontId="0" fillId="0" borderId="0" xfId="0" applyAlignment="1">
      <alignment/>
    </xf>
    <xf numFmtId="0" fontId="0" fillId="33" borderId="0" xfId="0" applyFill="1" applyAlignment="1">
      <alignment/>
    </xf>
    <xf numFmtId="0" fontId="2" fillId="33" borderId="0" xfId="0" applyFont="1" applyFill="1" applyAlignment="1">
      <alignment/>
    </xf>
    <xf numFmtId="0" fontId="6" fillId="33" borderId="0" xfId="0" applyFont="1" applyFill="1" applyAlignment="1">
      <alignment/>
    </xf>
    <xf numFmtId="0" fontId="0" fillId="33" borderId="10" xfId="0" applyFill="1" applyBorder="1" applyAlignment="1">
      <alignment/>
    </xf>
    <xf numFmtId="0" fontId="0" fillId="33" borderId="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4" fillId="33" borderId="13" xfId="0" applyFont="1" applyFill="1" applyBorder="1" applyAlignment="1">
      <alignment horizontal="center"/>
    </xf>
    <xf numFmtId="0" fontId="4" fillId="33" borderId="14" xfId="0" applyFont="1" applyFill="1" applyBorder="1" applyAlignment="1">
      <alignment horizontal="center"/>
    </xf>
    <xf numFmtId="0" fontId="4" fillId="33" borderId="15" xfId="0" applyFont="1" applyFill="1" applyBorder="1" applyAlignment="1">
      <alignment horizontal="center"/>
    </xf>
    <xf numFmtId="0" fontId="0" fillId="33" borderId="16" xfId="0" applyFont="1" applyFill="1" applyBorder="1" applyAlignment="1">
      <alignment horizontal="center"/>
    </xf>
    <xf numFmtId="0" fontId="2" fillId="33" borderId="17" xfId="0" applyFont="1" applyFill="1" applyBorder="1" applyAlignment="1">
      <alignment horizontal="center"/>
    </xf>
    <xf numFmtId="0" fontId="2" fillId="33" borderId="18" xfId="0" applyFont="1" applyFill="1" applyBorder="1" applyAlignment="1">
      <alignment horizontal="center"/>
    </xf>
    <xf numFmtId="0" fontId="0" fillId="33" borderId="19" xfId="0" applyFont="1" applyFill="1" applyBorder="1" applyAlignment="1">
      <alignment horizontal="center"/>
    </xf>
    <xf numFmtId="0" fontId="2" fillId="33" borderId="20" xfId="0" applyFont="1" applyFill="1" applyBorder="1" applyAlignment="1">
      <alignment horizontal="center"/>
    </xf>
    <xf numFmtId="0" fontId="2" fillId="33" borderId="21" xfId="0" applyFont="1" applyFill="1" applyBorder="1" applyAlignment="1">
      <alignment horizontal="center"/>
    </xf>
    <xf numFmtId="0" fontId="0" fillId="33" borderId="20" xfId="0" applyFont="1" applyFill="1" applyBorder="1" applyAlignment="1">
      <alignment horizontal="center"/>
    </xf>
    <xf numFmtId="0" fontId="0" fillId="33" borderId="21" xfId="0" applyFont="1" applyFill="1" applyBorder="1" applyAlignment="1">
      <alignment horizontal="center"/>
    </xf>
    <xf numFmtId="0" fontId="0" fillId="33" borderId="22" xfId="0" applyFont="1" applyFill="1" applyBorder="1" applyAlignment="1">
      <alignment horizontal="center"/>
    </xf>
    <xf numFmtId="0" fontId="0" fillId="33" borderId="23" xfId="0" applyFont="1" applyFill="1" applyBorder="1" applyAlignment="1">
      <alignment horizontal="center"/>
    </xf>
    <xf numFmtId="0" fontId="0" fillId="33" borderId="24" xfId="0" applyFont="1" applyFill="1" applyBorder="1" applyAlignment="1">
      <alignment horizontal="center"/>
    </xf>
    <xf numFmtId="0" fontId="7" fillId="33" borderId="0" xfId="0" applyFont="1" applyFill="1" applyAlignment="1">
      <alignment/>
    </xf>
    <xf numFmtId="0" fontId="9" fillId="33" borderId="0" xfId="0" applyFont="1" applyFill="1" applyAlignment="1" applyProtection="1">
      <alignment/>
      <protection/>
    </xf>
    <xf numFmtId="0" fontId="9" fillId="33" borderId="0" xfId="0" applyFont="1" applyFill="1" applyAlignment="1" applyProtection="1">
      <alignment horizontal="center"/>
      <protection/>
    </xf>
    <xf numFmtId="0" fontId="6" fillId="33" borderId="0" xfId="0" applyFont="1" applyFill="1" applyAlignment="1" applyProtection="1">
      <alignment horizontal="center"/>
      <protection/>
    </xf>
    <xf numFmtId="0" fontId="9" fillId="33" borderId="0" xfId="0" applyFont="1" applyFill="1" applyBorder="1" applyAlignment="1" applyProtection="1">
      <alignment/>
      <protection/>
    </xf>
    <xf numFmtId="0" fontId="6" fillId="33" borderId="0" xfId="0" applyFont="1" applyFill="1" applyBorder="1" applyAlignment="1" applyProtection="1">
      <alignment horizontal="center"/>
      <protection/>
    </xf>
    <xf numFmtId="44" fontId="9" fillId="33" borderId="0" xfId="44" applyFont="1" applyFill="1" applyBorder="1" applyAlignment="1" applyProtection="1">
      <alignment/>
      <protection/>
    </xf>
    <xf numFmtId="44" fontId="6" fillId="33" borderId="0" xfId="44" applyFont="1" applyFill="1" applyBorder="1" applyAlignment="1" applyProtection="1">
      <alignment horizontal="center"/>
      <protection/>
    </xf>
    <xf numFmtId="0" fontId="8" fillId="33" borderId="0" xfId="0" applyFont="1" applyFill="1" applyBorder="1" applyAlignment="1" applyProtection="1">
      <alignment vertical="top"/>
      <protection/>
    </xf>
    <xf numFmtId="0" fontId="9" fillId="33" borderId="0" xfId="0" applyFont="1" applyFill="1" applyAlignment="1" applyProtection="1">
      <alignment shrinkToFit="1"/>
      <protection/>
    </xf>
    <xf numFmtId="0" fontId="6" fillId="33" borderId="0" xfId="0" applyFont="1" applyFill="1" applyBorder="1" applyAlignment="1" applyProtection="1">
      <alignment horizontal="center" shrinkToFit="1"/>
      <protection/>
    </xf>
    <xf numFmtId="44" fontId="8" fillId="33" borderId="0" xfId="44" applyFont="1" applyFill="1" applyBorder="1" applyAlignment="1" applyProtection="1">
      <alignment horizontal="center"/>
      <protection/>
    </xf>
    <xf numFmtId="7" fontId="9" fillId="33" borderId="0" xfId="44" applyNumberFormat="1" applyFont="1" applyFill="1" applyBorder="1" applyAlignment="1" applyProtection="1">
      <alignment shrinkToFit="1"/>
      <protection/>
    </xf>
    <xf numFmtId="0" fontId="16" fillId="33" borderId="0" xfId="0" applyFont="1" applyFill="1" applyBorder="1" applyAlignment="1" applyProtection="1">
      <alignment/>
      <protection/>
    </xf>
    <xf numFmtId="0" fontId="9" fillId="33" borderId="0" xfId="0" applyFont="1" applyFill="1" applyAlignment="1" applyProtection="1">
      <alignment/>
      <protection/>
    </xf>
    <xf numFmtId="0" fontId="8" fillId="33" borderId="0" xfId="0" applyFont="1" applyFill="1" applyBorder="1" applyAlignment="1" applyProtection="1">
      <alignment horizontal="left" vertical="top" wrapText="1"/>
      <protection/>
    </xf>
    <xf numFmtId="0" fontId="9" fillId="33" borderId="0" xfId="0" applyFont="1" applyFill="1" applyBorder="1" applyAlignment="1" applyProtection="1">
      <alignment horizontal="left" vertical="top" wrapText="1"/>
      <protection/>
    </xf>
    <xf numFmtId="0" fontId="9" fillId="33" borderId="25" xfId="0" applyFont="1" applyFill="1" applyBorder="1" applyAlignment="1">
      <alignment/>
    </xf>
    <xf numFmtId="0" fontId="9" fillId="33" borderId="19" xfId="0" applyFont="1" applyFill="1" applyBorder="1" applyAlignment="1">
      <alignment/>
    </xf>
    <xf numFmtId="0" fontId="9" fillId="33" borderId="22" xfId="0" applyFont="1" applyFill="1" applyBorder="1" applyAlignment="1">
      <alignment/>
    </xf>
    <xf numFmtId="0" fontId="8" fillId="33" borderId="0" xfId="0" applyFont="1" applyFill="1" applyBorder="1" applyAlignment="1" applyProtection="1">
      <alignment vertical="top" wrapText="1"/>
      <protection/>
    </xf>
    <xf numFmtId="0" fontId="13" fillId="33" borderId="26" xfId="0" applyFont="1" applyFill="1" applyBorder="1" applyAlignment="1" applyProtection="1">
      <alignment horizontal="center" vertical="top"/>
      <protection/>
    </xf>
    <xf numFmtId="0" fontId="13" fillId="33" borderId="0" xfId="0" applyFont="1" applyFill="1" applyAlignment="1" applyProtection="1">
      <alignment horizontal="center" vertical="top"/>
      <protection/>
    </xf>
    <xf numFmtId="0" fontId="15" fillId="0" borderId="26" xfId="0" applyFont="1" applyBorder="1" applyAlignment="1" applyProtection="1">
      <alignment/>
      <protection/>
    </xf>
    <xf numFmtId="0" fontId="15" fillId="0" borderId="0" xfId="0" applyFont="1" applyAlignment="1" applyProtection="1">
      <alignment/>
      <protection/>
    </xf>
    <xf numFmtId="44" fontId="12" fillId="33" borderId="0" xfId="44" applyFont="1" applyFill="1" applyBorder="1" applyAlignment="1" applyProtection="1">
      <alignment/>
      <protection/>
    </xf>
    <xf numFmtId="0" fontId="22" fillId="33" borderId="0" xfId="0" applyFont="1" applyFill="1" applyBorder="1" applyAlignment="1" applyProtection="1">
      <alignment horizontal="center" shrinkToFit="1"/>
      <protection/>
    </xf>
    <xf numFmtId="0" fontId="12" fillId="33" borderId="0" xfId="0" applyFont="1" applyFill="1" applyAlignment="1" applyProtection="1">
      <alignment/>
      <protection/>
    </xf>
    <xf numFmtId="0" fontId="17" fillId="33" borderId="0" xfId="0" applyFont="1" applyFill="1" applyBorder="1" applyAlignment="1" applyProtection="1">
      <alignment horizontal="center" vertical="top"/>
      <protection/>
    </xf>
    <xf numFmtId="0" fontId="19" fillId="0" borderId="0" xfId="0" applyFont="1" applyBorder="1" applyAlignment="1" applyProtection="1">
      <alignment/>
      <protection/>
    </xf>
    <xf numFmtId="0" fontId="12" fillId="33" borderId="0" xfId="0" applyFont="1" applyFill="1" applyBorder="1" applyAlignment="1" applyProtection="1">
      <alignment/>
      <protection/>
    </xf>
    <xf numFmtId="0" fontId="17" fillId="33" borderId="26" xfId="0" applyFont="1" applyFill="1" applyBorder="1" applyAlignment="1" applyProtection="1">
      <alignment horizontal="center" vertical="top"/>
      <protection/>
    </xf>
    <xf numFmtId="7" fontId="12" fillId="33" borderId="0" xfId="44" applyNumberFormat="1" applyFont="1" applyFill="1" applyBorder="1" applyAlignment="1" applyProtection="1">
      <alignment shrinkToFit="1"/>
      <protection/>
    </xf>
    <xf numFmtId="0" fontId="20" fillId="33" borderId="20" xfId="0" applyFont="1" applyFill="1" applyBorder="1" applyAlignment="1" applyProtection="1">
      <alignment horizontal="center" vertical="top"/>
      <protection/>
    </xf>
    <xf numFmtId="0" fontId="20" fillId="33" borderId="26" xfId="0" applyFont="1" applyFill="1" applyBorder="1" applyAlignment="1" applyProtection="1">
      <alignment horizontal="center" wrapText="1"/>
      <protection/>
    </xf>
    <xf numFmtId="0" fontId="20" fillId="33" borderId="17" xfId="0" applyFont="1" applyFill="1" applyBorder="1" applyAlignment="1" applyProtection="1">
      <alignment horizontal="center" vertical="top"/>
      <protection/>
    </xf>
    <xf numFmtId="0" fontId="20" fillId="33" borderId="27" xfId="0" applyFont="1" applyFill="1" applyBorder="1" applyAlignment="1" applyProtection="1">
      <alignment horizontal="center" vertical="top"/>
      <protection/>
    </xf>
    <xf numFmtId="0" fontId="23" fillId="33" borderId="0" xfId="0" applyFont="1" applyFill="1" applyBorder="1" applyAlignment="1" applyProtection="1">
      <alignment horizontal="center" vertical="center" wrapText="1"/>
      <protection/>
    </xf>
    <xf numFmtId="0" fontId="20" fillId="33" borderId="28" xfId="0" applyFont="1" applyFill="1" applyBorder="1" applyAlignment="1" applyProtection="1">
      <alignment horizontal="center" vertical="top"/>
      <protection/>
    </xf>
    <xf numFmtId="0" fontId="12" fillId="0" borderId="26" xfId="0" applyFont="1" applyBorder="1" applyAlignment="1" applyProtection="1">
      <alignment/>
      <protection/>
    </xf>
    <xf numFmtId="0" fontId="12" fillId="0" borderId="29" xfId="0" applyFont="1" applyBorder="1" applyAlignment="1" applyProtection="1">
      <alignment/>
      <protection/>
    </xf>
    <xf numFmtId="0" fontId="20" fillId="33" borderId="0" xfId="0" applyFont="1" applyFill="1" applyBorder="1" applyAlignment="1" applyProtection="1">
      <alignment horizontal="center" vertical="center" wrapText="1"/>
      <protection/>
    </xf>
    <xf numFmtId="7" fontId="12" fillId="33" borderId="30" xfId="44" applyNumberFormat="1" applyFont="1" applyFill="1" applyBorder="1" applyAlignment="1" applyProtection="1">
      <alignment shrinkToFit="1"/>
      <protection/>
    </xf>
    <xf numFmtId="0" fontId="8" fillId="33" borderId="0" xfId="0" applyFont="1" applyFill="1" applyBorder="1" applyAlignment="1" applyProtection="1">
      <alignment horizontal="center"/>
      <protection/>
    </xf>
    <xf numFmtId="0" fontId="9" fillId="0" borderId="0" xfId="0" applyFont="1" applyFill="1" applyBorder="1" applyAlignment="1" applyProtection="1">
      <alignment/>
      <protection/>
    </xf>
    <xf numFmtId="0" fontId="8" fillId="0" borderId="0" xfId="0" applyFont="1" applyFill="1" applyBorder="1" applyAlignment="1" applyProtection="1">
      <alignment vertical="top"/>
      <protection/>
    </xf>
    <xf numFmtId="0" fontId="8" fillId="0" borderId="0" xfId="0" applyFont="1" applyFill="1" applyBorder="1" applyAlignment="1" applyProtection="1">
      <alignment/>
      <protection/>
    </xf>
    <xf numFmtId="0" fontId="20" fillId="0" borderId="0" xfId="0" applyFont="1" applyFill="1" applyBorder="1" applyAlignment="1" applyProtection="1">
      <alignment/>
      <protection/>
    </xf>
    <xf numFmtId="0" fontId="12" fillId="0" borderId="0" xfId="0" applyFont="1" applyFill="1" applyBorder="1" applyAlignment="1" applyProtection="1">
      <alignment/>
      <protection/>
    </xf>
    <xf numFmtId="7" fontId="12" fillId="0" borderId="0" xfId="44" applyNumberFormat="1" applyFont="1" applyFill="1" applyBorder="1" applyAlignment="1" applyProtection="1">
      <alignment shrinkToFit="1"/>
      <protection/>
    </xf>
    <xf numFmtId="0" fontId="0" fillId="0" borderId="0" xfId="0" applyAlignment="1" applyProtection="1">
      <alignment/>
      <protection/>
    </xf>
    <xf numFmtId="0" fontId="6" fillId="0" borderId="0" xfId="0" applyFont="1" applyFill="1" applyBorder="1" applyAlignment="1" applyProtection="1">
      <alignment/>
      <protection/>
    </xf>
    <xf numFmtId="44" fontId="10" fillId="0" borderId="0" xfId="44" applyFont="1" applyFill="1" applyBorder="1" applyAlignment="1" applyProtection="1">
      <alignment shrinkToFit="1"/>
      <protection/>
    </xf>
    <xf numFmtId="7" fontId="12" fillId="33" borderId="0" xfId="44" applyNumberFormat="1" applyFont="1" applyFill="1" applyBorder="1" applyAlignment="1" applyProtection="1">
      <alignment/>
      <protection/>
    </xf>
    <xf numFmtId="7" fontId="12" fillId="33" borderId="31" xfId="44" applyNumberFormat="1" applyFont="1" applyFill="1" applyBorder="1" applyAlignment="1" applyProtection="1">
      <alignment/>
      <protection/>
    </xf>
    <xf numFmtId="7" fontId="14" fillId="33" borderId="0" xfId="44" applyNumberFormat="1" applyFont="1" applyFill="1" applyBorder="1" applyAlignment="1" applyProtection="1">
      <alignment horizontal="center" vertical="center" wrapText="1"/>
      <protection/>
    </xf>
    <xf numFmtId="0" fontId="20" fillId="0" borderId="17" xfId="0" applyFont="1" applyBorder="1" applyAlignment="1" applyProtection="1">
      <alignment horizontal="center" vertical="top"/>
      <protection/>
    </xf>
    <xf numFmtId="7" fontId="12" fillId="33" borderId="0" xfId="0" applyNumberFormat="1" applyFont="1" applyFill="1" applyAlignment="1" applyProtection="1">
      <alignment shrinkToFit="1"/>
      <protection/>
    </xf>
    <xf numFmtId="7" fontId="12" fillId="0" borderId="0" xfId="59" applyNumberFormat="1" applyFont="1" applyFill="1" applyBorder="1" applyAlignment="1" applyProtection="1">
      <alignment shrinkToFit="1"/>
      <protection/>
    </xf>
    <xf numFmtId="7" fontId="12" fillId="33" borderId="32" xfId="44" applyNumberFormat="1" applyFont="1" applyFill="1" applyBorder="1" applyAlignment="1" applyProtection="1">
      <alignment shrinkToFit="1"/>
      <protection/>
    </xf>
    <xf numFmtId="7" fontId="14" fillId="33" borderId="0" xfId="44" applyNumberFormat="1" applyFont="1" applyFill="1" applyBorder="1" applyAlignment="1" applyProtection="1">
      <alignment horizontal="center" vertical="top" wrapText="1"/>
      <protection/>
    </xf>
    <xf numFmtId="0" fontId="9" fillId="33" borderId="0" xfId="0" applyFont="1" applyFill="1" applyAlignment="1" applyProtection="1">
      <alignment vertical="top"/>
      <protection/>
    </xf>
    <xf numFmtId="0" fontId="10" fillId="33" borderId="0" xfId="0" applyFont="1" applyFill="1" applyAlignment="1" applyProtection="1">
      <alignment horizontal="left" vertical="top"/>
      <protection/>
    </xf>
    <xf numFmtId="0" fontId="8" fillId="33" borderId="0" xfId="0" applyFont="1" applyFill="1" applyBorder="1" applyAlignment="1" applyProtection="1">
      <alignment horizontal="left" vertical="top"/>
      <protection/>
    </xf>
    <xf numFmtId="0" fontId="8" fillId="33" borderId="0" xfId="0" applyFont="1" applyFill="1" applyAlignment="1" applyProtection="1">
      <alignment horizontal="left" vertical="top"/>
      <protection/>
    </xf>
    <xf numFmtId="0" fontId="9" fillId="33" borderId="0" xfId="0" applyFont="1" applyFill="1" applyAlignment="1" applyProtection="1">
      <alignment horizontal="left" vertical="top"/>
      <protection/>
    </xf>
    <xf numFmtId="0" fontId="20" fillId="33" borderId="26" xfId="0" applyFont="1" applyFill="1" applyBorder="1" applyAlignment="1" applyProtection="1">
      <alignment horizontal="left" vertical="top"/>
      <protection/>
    </xf>
    <xf numFmtId="0" fontId="0" fillId="0" borderId="0" xfId="0" applyAlignment="1" applyProtection="1">
      <alignment horizontal="left"/>
      <protection/>
    </xf>
    <xf numFmtId="0" fontId="20" fillId="33" borderId="0" xfId="0" applyFont="1" applyFill="1" applyBorder="1" applyAlignment="1" applyProtection="1">
      <alignment horizontal="left" wrapText="1"/>
      <protection/>
    </xf>
    <xf numFmtId="0" fontId="12" fillId="33" borderId="0" xfId="0" applyFont="1" applyFill="1" applyBorder="1" applyAlignment="1" applyProtection="1">
      <alignment horizontal="left" wrapText="1"/>
      <protection/>
    </xf>
    <xf numFmtId="0" fontId="12" fillId="0" borderId="0" xfId="0" applyFont="1" applyAlignment="1">
      <alignment/>
    </xf>
    <xf numFmtId="7" fontId="22" fillId="33" borderId="0" xfId="0" applyNumberFormat="1" applyFont="1" applyFill="1" applyBorder="1" applyAlignment="1" applyProtection="1">
      <alignment horizontal="center" vertical="center" shrinkToFit="1"/>
      <protection/>
    </xf>
    <xf numFmtId="7" fontId="12" fillId="33" borderId="0" xfId="0" applyNumberFormat="1" applyFont="1" applyFill="1" applyBorder="1" applyAlignment="1" applyProtection="1">
      <alignment/>
      <protection/>
    </xf>
    <xf numFmtId="0" fontId="20" fillId="33" borderId="0" xfId="0" applyFont="1" applyFill="1" applyBorder="1" applyAlignment="1" applyProtection="1">
      <alignment horizontal="left" vertical="top"/>
      <protection/>
    </xf>
    <xf numFmtId="0" fontId="20" fillId="33" borderId="0" xfId="0" applyFont="1" applyFill="1" applyBorder="1" applyAlignment="1" applyProtection="1">
      <alignment horizontal="left" vertical="top" wrapText="1"/>
      <protection/>
    </xf>
    <xf numFmtId="0" fontId="12" fillId="33" borderId="0" xfId="0" applyFont="1" applyFill="1" applyBorder="1" applyAlignment="1" applyProtection="1">
      <alignment vertical="top"/>
      <protection/>
    </xf>
    <xf numFmtId="0" fontId="20" fillId="33" borderId="33" xfId="0" applyFont="1" applyFill="1" applyBorder="1" applyAlignment="1" applyProtection="1">
      <alignment horizontal="center" vertical="top"/>
      <protection/>
    </xf>
    <xf numFmtId="7" fontId="21" fillId="33" borderId="32" xfId="44" applyNumberFormat="1" applyFont="1" applyFill="1" applyBorder="1" applyAlignment="1" applyProtection="1">
      <alignment horizontal="center" vertical="center" wrapText="1"/>
      <protection/>
    </xf>
    <xf numFmtId="0" fontId="24" fillId="33" borderId="32" xfId="0" applyFont="1" applyFill="1" applyBorder="1" applyAlignment="1" applyProtection="1">
      <alignment horizontal="center" vertical="center"/>
      <protection/>
    </xf>
    <xf numFmtId="7" fontId="12" fillId="0" borderId="32" xfId="44" applyNumberFormat="1" applyFont="1" applyFill="1" applyBorder="1" applyAlignment="1" applyProtection="1">
      <alignment shrinkToFit="1"/>
      <protection/>
    </xf>
    <xf numFmtId="0" fontId="22" fillId="33" borderId="0" xfId="0" applyFont="1" applyFill="1" applyBorder="1" applyAlignment="1" applyProtection="1">
      <alignment horizontal="center" vertical="center"/>
      <protection/>
    </xf>
    <xf numFmtId="0" fontId="20" fillId="33" borderId="0" xfId="0" applyFont="1" applyFill="1" applyBorder="1" applyAlignment="1" applyProtection="1">
      <alignment horizontal="center" vertical="top"/>
      <protection/>
    </xf>
    <xf numFmtId="0" fontId="20" fillId="33" borderId="0" xfId="0" applyFont="1" applyFill="1" applyBorder="1" applyAlignment="1" applyProtection="1">
      <alignment horizontal="left" vertical="top" wrapText="1" shrinkToFit="1"/>
      <protection/>
    </xf>
    <xf numFmtId="0" fontId="11" fillId="33" borderId="20"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20" fillId="0" borderId="0" xfId="0" applyFont="1" applyAlignment="1">
      <alignment/>
    </xf>
    <xf numFmtId="0" fontId="12" fillId="33" borderId="0" xfId="0" applyFont="1" applyFill="1" applyAlignment="1" applyProtection="1">
      <alignment vertical="top"/>
      <protection/>
    </xf>
    <xf numFmtId="0" fontId="12" fillId="33" borderId="0" xfId="0" applyFont="1" applyFill="1" applyAlignment="1" applyProtection="1">
      <alignment horizontal="center"/>
      <protection/>
    </xf>
    <xf numFmtId="1" fontId="12" fillId="33" borderId="17" xfId="44" applyNumberFormat="1" applyFont="1" applyFill="1" applyBorder="1" applyAlignment="1" applyProtection="1">
      <alignment horizontal="center" vertical="center" shrinkToFit="1"/>
      <protection/>
    </xf>
    <xf numFmtId="1" fontId="12" fillId="33" borderId="31" xfId="44" applyNumberFormat="1" applyFont="1" applyFill="1" applyBorder="1" applyAlignment="1" applyProtection="1">
      <alignment horizontal="center" vertical="center" shrinkToFit="1"/>
      <protection/>
    </xf>
    <xf numFmtId="0" fontId="20" fillId="33" borderId="20" xfId="0" applyFont="1" applyFill="1" applyBorder="1" applyAlignment="1" applyProtection="1">
      <alignment horizontal="center" vertical="center" shrinkToFit="1"/>
      <protection/>
    </xf>
    <xf numFmtId="0" fontId="20" fillId="33" borderId="20" xfId="0" applyFont="1" applyFill="1" applyBorder="1" applyAlignment="1" applyProtection="1">
      <alignment horizontal="center" vertical="center"/>
      <protection/>
    </xf>
    <xf numFmtId="7" fontId="20" fillId="33" borderId="20" xfId="0" applyNumberFormat="1" applyFont="1" applyFill="1" applyBorder="1" applyAlignment="1" applyProtection="1">
      <alignment horizontal="center" vertical="center"/>
      <protection/>
    </xf>
    <xf numFmtId="10" fontId="12" fillId="33" borderId="20" xfId="59" applyNumberFormat="1" applyFont="1" applyFill="1" applyBorder="1" applyAlignment="1" applyProtection="1">
      <alignment horizontal="right" shrinkToFit="1"/>
      <protection/>
    </xf>
    <xf numFmtId="0" fontId="22" fillId="33" borderId="0" xfId="0" applyFont="1" applyFill="1" applyBorder="1" applyAlignment="1" applyProtection="1">
      <alignment horizontal="center"/>
      <protection/>
    </xf>
    <xf numFmtId="0" fontId="12" fillId="33" borderId="30" xfId="0" applyFont="1" applyFill="1" applyBorder="1" applyAlignment="1">
      <alignment/>
    </xf>
    <xf numFmtId="0" fontId="12" fillId="33" borderId="26" xfId="0" applyFont="1" applyFill="1" applyBorder="1" applyAlignment="1">
      <alignment/>
    </xf>
    <xf numFmtId="0" fontId="12" fillId="33" borderId="29" xfId="0" applyFont="1" applyFill="1" applyBorder="1" applyAlignment="1">
      <alignment/>
    </xf>
    <xf numFmtId="0" fontId="12" fillId="33" borderId="32" xfId="0" applyFont="1" applyFill="1" applyBorder="1" applyAlignment="1">
      <alignment/>
    </xf>
    <xf numFmtId="0" fontId="12" fillId="33" borderId="0" xfId="0" applyFont="1" applyFill="1" applyBorder="1" applyAlignment="1">
      <alignment/>
    </xf>
    <xf numFmtId="0" fontId="12" fillId="33" borderId="0" xfId="0" applyFont="1" applyFill="1" applyBorder="1" applyAlignment="1">
      <alignment/>
    </xf>
    <xf numFmtId="0" fontId="12" fillId="33" borderId="31" xfId="0" applyFont="1" applyFill="1" applyBorder="1" applyAlignment="1">
      <alignment/>
    </xf>
    <xf numFmtId="0" fontId="12" fillId="33" borderId="31" xfId="0" applyFont="1" applyFill="1" applyBorder="1" applyAlignment="1">
      <alignment/>
    </xf>
    <xf numFmtId="0" fontId="12" fillId="33" borderId="34" xfId="0" applyFont="1" applyFill="1" applyBorder="1" applyAlignment="1">
      <alignment/>
    </xf>
    <xf numFmtId="0" fontId="12" fillId="33" borderId="35" xfId="0" applyFont="1" applyFill="1" applyBorder="1" applyAlignment="1">
      <alignment/>
    </xf>
    <xf numFmtId="0" fontId="12" fillId="33" borderId="27" xfId="0" applyFont="1" applyFill="1" applyBorder="1" applyAlignment="1">
      <alignment/>
    </xf>
    <xf numFmtId="0" fontId="12" fillId="33" borderId="32" xfId="0" applyFont="1" applyFill="1" applyBorder="1" applyAlignment="1">
      <alignment/>
    </xf>
    <xf numFmtId="0" fontId="20" fillId="33" borderId="0" xfId="0" applyFont="1" applyFill="1" applyBorder="1" applyAlignment="1" applyProtection="1">
      <alignment horizontal="center"/>
      <protection/>
    </xf>
    <xf numFmtId="0" fontId="5" fillId="0" borderId="0" xfId="53" applyBorder="1" applyAlignment="1" applyProtection="1">
      <alignment shrinkToFit="1"/>
      <protection/>
    </xf>
    <xf numFmtId="0" fontId="20" fillId="33" borderId="36" xfId="0" applyFont="1" applyFill="1" applyBorder="1" applyAlignment="1" applyProtection="1">
      <alignment horizontal="center" vertical="top"/>
      <protection/>
    </xf>
    <xf numFmtId="0" fontId="12" fillId="33" borderId="0" xfId="0" applyFont="1" applyFill="1" applyAlignment="1" applyProtection="1">
      <alignment horizontal="left" vertical="top"/>
      <protection/>
    </xf>
    <xf numFmtId="0" fontId="10" fillId="33" borderId="20" xfId="0" applyFont="1" applyFill="1" applyBorder="1" applyAlignment="1" applyProtection="1">
      <alignment horizontal="center" vertical="center"/>
      <protection/>
    </xf>
    <xf numFmtId="0" fontId="24" fillId="33" borderId="0" xfId="0" applyFont="1" applyFill="1" applyBorder="1" applyAlignment="1" applyProtection="1">
      <alignment horizontal="center" vertical="center"/>
      <protection/>
    </xf>
    <xf numFmtId="7" fontId="12" fillId="0" borderId="0" xfId="44" applyNumberFormat="1" applyFont="1" applyFill="1" applyBorder="1" applyAlignment="1" applyProtection="1">
      <alignment horizontal="right" shrinkToFit="1"/>
      <protection/>
    </xf>
    <xf numFmtId="0" fontId="9" fillId="0" borderId="0" xfId="0" applyFont="1" applyFill="1" applyBorder="1" applyAlignment="1" applyProtection="1">
      <alignment horizontal="center" vertical="top" wrapText="1"/>
      <protection/>
    </xf>
    <xf numFmtId="49" fontId="20" fillId="33" borderId="27" xfId="0" applyNumberFormat="1" applyFont="1" applyFill="1" applyBorder="1" applyAlignment="1" applyProtection="1">
      <alignment horizontal="left" vertical="top" wrapText="1"/>
      <protection/>
    </xf>
    <xf numFmtId="49" fontId="20" fillId="33" borderId="28" xfId="0" applyNumberFormat="1" applyFont="1" applyFill="1" applyBorder="1" applyAlignment="1" applyProtection="1">
      <alignment horizontal="left" vertical="top" wrapText="1"/>
      <protection/>
    </xf>
    <xf numFmtId="49" fontId="20" fillId="33" borderId="20" xfId="0" applyNumberFormat="1" applyFont="1" applyFill="1" applyBorder="1" applyAlignment="1" applyProtection="1">
      <alignment horizontal="left" vertical="top" wrapText="1"/>
      <protection/>
    </xf>
    <xf numFmtId="49" fontId="20" fillId="33" borderId="30" xfId="0" applyNumberFormat="1" applyFont="1" applyFill="1" applyBorder="1" applyAlignment="1" applyProtection="1">
      <alignment horizontal="left" vertical="top" wrapText="1"/>
      <protection/>
    </xf>
    <xf numFmtId="49" fontId="20" fillId="0" borderId="20" xfId="0" applyNumberFormat="1" applyFont="1" applyBorder="1" applyAlignment="1" applyProtection="1">
      <alignment horizontal="left" vertical="top" wrapText="1"/>
      <protection/>
    </xf>
    <xf numFmtId="49" fontId="12" fillId="0" borderId="20" xfId="0" applyNumberFormat="1" applyFont="1" applyFill="1" applyBorder="1" applyAlignment="1" applyProtection="1">
      <alignment horizontal="left" vertical="top" wrapText="1" shrinkToFit="1"/>
      <protection/>
    </xf>
    <xf numFmtId="0" fontId="12" fillId="34" borderId="17" xfId="0" applyFont="1" applyFill="1" applyBorder="1" applyAlignment="1" applyProtection="1">
      <alignment horizontal="center" vertical="center" wrapText="1"/>
      <protection/>
    </xf>
    <xf numFmtId="10" fontId="12" fillId="35" borderId="20" xfId="59" applyNumberFormat="1" applyFont="1" applyFill="1" applyBorder="1" applyAlignment="1" applyProtection="1">
      <alignment horizontal="center" vertical="center" shrinkToFit="1"/>
      <protection locked="0"/>
    </xf>
    <xf numFmtId="0" fontId="20" fillId="33" borderId="33" xfId="0" applyFont="1" applyFill="1" applyBorder="1" applyAlignment="1" applyProtection="1">
      <alignment horizontal="left" vertical="top"/>
      <protection/>
    </xf>
    <xf numFmtId="0" fontId="89" fillId="0" borderId="0" xfId="0" applyFont="1" applyFill="1" applyBorder="1" applyAlignment="1" applyProtection="1">
      <alignment/>
      <protection/>
    </xf>
    <xf numFmtId="0" fontId="12" fillId="0" borderId="0" xfId="0" applyFont="1" applyAlignment="1">
      <alignment horizontal="left"/>
    </xf>
    <xf numFmtId="0" fontId="19" fillId="0" borderId="0" xfId="0" applyFont="1" applyAlignment="1">
      <alignment/>
    </xf>
    <xf numFmtId="0" fontId="12" fillId="0" borderId="0" xfId="0" applyFont="1" applyAlignment="1">
      <alignment horizontal="right"/>
    </xf>
    <xf numFmtId="0" fontId="12" fillId="0" borderId="0" xfId="0" applyFont="1" applyBorder="1" applyAlignment="1">
      <alignment horizontal="left"/>
    </xf>
    <xf numFmtId="0" fontId="12" fillId="0" borderId="0" xfId="0" applyFont="1" applyAlignment="1">
      <alignment horizontal="center"/>
    </xf>
    <xf numFmtId="185" fontId="12" fillId="0" borderId="26" xfId="0" applyNumberFormat="1" applyFont="1" applyBorder="1" applyAlignment="1">
      <alignment/>
    </xf>
    <xf numFmtId="185" fontId="12" fillId="0" borderId="26" xfId="0" applyNumberFormat="1" applyFont="1" applyBorder="1" applyAlignment="1">
      <alignment/>
    </xf>
    <xf numFmtId="185" fontId="12" fillId="0" borderId="37" xfId="0" applyNumberFormat="1" applyFont="1" applyBorder="1" applyAlignment="1">
      <alignment/>
    </xf>
    <xf numFmtId="185" fontId="12" fillId="0" borderId="0" xfId="0" applyNumberFormat="1" applyFont="1" applyAlignment="1">
      <alignment/>
    </xf>
    <xf numFmtId="185" fontId="12" fillId="0" borderId="0" xfId="0" applyNumberFormat="1" applyFont="1" applyAlignment="1">
      <alignment/>
    </xf>
    <xf numFmtId="49" fontId="10" fillId="36" borderId="33" xfId="44" applyNumberFormat="1" applyFont="1" applyFill="1" applyBorder="1" applyAlignment="1" applyProtection="1">
      <alignment horizontal="center" vertical="center" shrinkToFit="1"/>
      <protection locked="0"/>
    </xf>
    <xf numFmtId="49" fontId="10" fillId="36" borderId="35" xfId="44" applyNumberFormat="1" applyFont="1" applyFill="1" applyBorder="1" applyAlignment="1" applyProtection="1">
      <alignment horizontal="center" vertical="center" shrinkToFit="1"/>
      <protection locked="0"/>
    </xf>
    <xf numFmtId="0" fontId="90" fillId="0" borderId="0" xfId="0" applyFont="1" applyAlignment="1">
      <alignment/>
    </xf>
    <xf numFmtId="165" fontId="90" fillId="0" borderId="0" xfId="0" applyNumberFormat="1" applyFont="1" applyAlignment="1">
      <alignment/>
    </xf>
    <xf numFmtId="49" fontId="11" fillId="37" borderId="20" xfId="44" applyNumberFormat="1" applyFont="1" applyFill="1" applyBorder="1" applyAlignment="1" applyProtection="1">
      <alignment horizontal="center" vertical="center" shrinkToFit="1"/>
      <protection/>
    </xf>
    <xf numFmtId="0" fontId="0" fillId="33" borderId="0" xfId="0" applyFont="1" applyFill="1" applyBorder="1" applyAlignment="1" applyProtection="1">
      <alignment horizontal="right"/>
      <protection/>
    </xf>
    <xf numFmtId="0" fontId="10" fillId="33" borderId="20" xfId="0" applyFont="1" applyFill="1" applyBorder="1" applyAlignment="1" applyProtection="1">
      <alignment horizontal="center" vertical="center" shrinkToFit="1"/>
      <protection/>
    </xf>
    <xf numFmtId="0" fontId="8" fillId="0" borderId="0" xfId="0" applyFont="1" applyFill="1" applyBorder="1" applyAlignment="1" applyProtection="1">
      <alignment/>
      <protection locked="0"/>
    </xf>
    <xf numFmtId="0" fontId="10" fillId="30" borderId="20" xfId="0" applyFont="1" applyFill="1" applyBorder="1" applyAlignment="1" applyProtection="1">
      <alignment horizontal="center" vertical="center" shrinkToFit="1"/>
      <protection/>
    </xf>
    <xf numFmtId="0" fontId="89" fillId="0" borderId="0" xfId="0" applyFont="1" applyFill="1" applyBorder="1" applyAlignment="1" applyProtection="1">
      <alignment/>
      <protection hidden="1"/>
    </xf>
    <xf numFmtId="0" fontId="91" fillId="33" borderId="0" xfId="0" applyFont="1" applyFill="1" applyBorder="1" applyAlignment="1" applyProtection="1">
      <alignment horizontal="center"/>
      <protection hidden="1"/>
    </xf>
    <xf numFmtId="0" fontId="91" fillId="33" borderId="0" xfId="0" applyFont="1" applyFill="1" applyAlignment="1" applyProtection="1">
      <alignment/>
      <protection/>
    </xf>
    <xf numFmtId="49" fontId="0" fillId="0" borderId="0" xfId="44" applyNumberFormat="1" applyFont="1" applyFill="1" applyBorder="1" applyAlignment="1" applyProtection="1">
      <alignment horizontal="center" vertical="center" shrinkToFit="1"/>
      <protection locked="0"/>
    </xf>
    <xf numFmtId="0" fontId="91" fillId="0" borderId="0" xfId="0" applyFont="1" applyFill="1" applyBorder="1" applyAlignment="1" applyProtection="1">
      <alignment/>
      <protection/>
    </xf>
    <xf numFmtId="0" fontId="91" fillId="33" borderId="0" xfId="0" applyFont="1" applyFill="1" applyBorder="1" applyAlignment="1" applyProtection="1">
      <alignment/>
      <protection/>
    </xf>
    <xf numFmtId="0" fontId="91" fillId="0" borderId="0" xfId="0" applyFont="1" applyFill="1" applyBorder="1" applyAlignment="1" applyProtection="1">
      <alignment vertical="top"/>
      <protection/>
    </xf>
    <xf numFmtId="0" fontId="91" fillId="0" borderId="0" xfId="0" applyFont="1" applyFill="1" applyBorder="1" applyAlignment="1" applyProtection="1">
      <alignment wrapText="1"/>
      <protection/>
    </xf>
    <xf numFmtId="0" fontId="91" fillId="0" borderId="0" xfId="0" applyFont="1" applyFill="1" applyBorder="1" applyAlignment="1" applyProtection="1">
      <alignment horizontal="center"/>
      <protection/>
    </xf>
    <xf numFmtId="44" fontId="91" fillId="0" borderId="0" xfId="44" applyFont="1" applyFill="1" applyBorder="1" applyAlignment="1" applyProtection="1">
      <alignment horizontal="center" shrinkToFit="1"/>
      <protection/>
    </xf>
    <xf numFmtId="0" fontId="92" fillId="0" borderId="0" xfId="0" applyFont="1" applyFill="1" applyBorder="1" applyAlignment="1" applyProtection="1">
      <alignment horizontal="center"/>
      <protection/>
    </xf>
    <xf numFmtId="0" fontId="89" fillId="0" borderId="0" xfId="0" applyFont="1" applyFill="1" applyBorder="1" applyAlignment="1" applyProtection="1">
      <alignment vertical="top"/>
      <protection/>
    </xf>
    <xf numFmtId="0" fontId="89" fillId="0" borderId="0" xfId="0" applyFont="1" applyFill="1" applyBorder="1" applyAlignment="1" applyProtection="1">
      <alignment vertical="top" wrapText="1"/>
      <protection/>
    </xf>
    <xf numFmtId="7" fontId="91" fillId="0" borderId="0" xfId="44" applyNumberFormat="1" applyFont="1" applyFill="1" applyBorder="1" applyAlignment="1" applyProtection="1">
      <alignment shrinkToFit="1"/>
      <protection/>
    </xf>
    <xf numFmtId="44" fontId="91" fillId="0" borderId="0" xfId="44" applyFont="1" applyFill="1" applyBorder="1" applyAlignment="1" applyProtection="1">
      <alignment/>
      <protection/>
    </xf>
    <xf numFmtId="0" fontId="93" fillId="0" borderId="0" xfId="0" applyFont="1" applyFill="1" applyBorder="1" applyAlignment="1" applyProtection="1">
      <alignment horizontal="right" vertical="top"/>
      <protection/>
    </xf>
    <xf numFmtId="0" fontId="91" fillId="0" borderId="0" xfId="0" applyFont="1" applyFill="1" applyBorder="1" applyAlignment="1" applyProtection="1">
      <alignment horizontal="left" vertical="top" wrapText="1"/>
      <protection/>
    </xf>
    <xf numFmtId="0" fontId="89" fillId="0" borderId="0" xfId="0" applyFont="1" applyFill="1" applyBorder="1" applyAlignment="1" applyProtection="1">
      <alignment horizontal="left" vertical="top" wrapText="1"/>
      <protection/>
    </xf>
    <xf numFmtId="0" fontId="94" fillId="0" borderId="0" xfId="0" applyFont="1" applyFill="1" applyBorder="1" applyAlignment="1" applyProtection="1">
      <alignment/>
      <protection/>
    </xf>
    <xf numFmtId="0" fontId="91" fillId="0" borderId="0" xfId="0" applyFont="1" applyFill="1" applyBorder="1" applyAlignment="1" applyProtection="1">
      <alignment shrinkToFit="1"/>
      <protection/>
    </xf>
    <xf numFmtId="0" fontId="92" fillId="0" borderId="0" xfId="0" applyFont="1" applyFill="1" applyBorder="1" applyAlignment="1" applyProtection="1">
      <alignment horizontal="center" shrinkToFit="1"/>
      <protection/>
    </xf>
    <xf numFmtId="0" fontId="95" fillId="0" borderId="0" xfId="0" applyFont="1" applyFill="1" applyBorder="1" applyAlignment="1" applyProtection="1">
      <alignment vertical="top"/>
      <protection/>
    </xf>
    <xf numFmtId="7" fontId="96" fillId="0" borderId="0" xfId="44" applyNumberFormat="1" applyFont="1" applyFill="1" applyBorder="1" applyAlignment="1" applyProtection="1">
      <alignment shrinkToFit="1"/>
      <protection/>
    </xf>
    <xf numFmtId="44" fontId="96" fillId="0" borderId="0" xfId="44" applyFont="1" applyFill="1" applyBorder="1" applyAlignment="1" applyProtection="1">
      <alignment shrinkToFit="1"/>
      <protection/>
    </xf>
    <xf numFmtId="0" fontId="96" fillId="0" borderId="0" xfId="0" applyFont="1" applyFill="1" applyBorder="1" applyAlignment="1" applyProtection="1">
      <alignment/>
      <protection/>
    </xf>
    <xf numFmtId="0" fontId="96" fillId="33" borderId="0" xfId="0" applyFont="1" applyFill="1" applyBorder="1" applyAlignment="1" applyProtection="1">
      <alignment/>
      <protection/>
    </xf>
    <xf numFmtId="0" fontId="97" fillId="0" borderId="0" xfId="0" applyFont="1" applyFill="1" applyBorder="1" applyAlignment="1" applyProtection="1">
      <alignment horizontal="center" shrinkToFit="1"/>
      <protection/>
    </xf>
    <xf numFmtId="7" fontId="96" fillId="0" borderId="0" xfId="0" applyNumberFormat="1" applyFont="1" applyFill="1" applyBorder="1" applyAlignment="1" applyProtection="1">
      <alignment shrinkToFit="1"/>
      <protection/>
    </xf>
    <xf numFmtId="0" fontId="89" fillId="0" borderId="0" xfId="0" applyFont="1" applyFill="1" applyBorder="1" applyAlignment="1" applyProtection="1">
      <alignment horizontal="center" vertical="top"/>
      <protection/>
    </xf>
    <xf numFmtId="0" fontId="90" fillId="0" borderId="0" xfId="0" applyFont="1" applyFill="1" applyBorder="1" applyAlignment="1" applyProtection="1">
      <alignment/>
      <protection/>
    </xf>
    <xf numFmtId="0" fontId="96" fillId="0" borderId="0" xfId="0" applyFont="1" applyFill="1" applyBorder="1" applyAlignment="1" applyProtection="1">
      <alignment horizontal="center" shrinkToFit="1"/>
      <protection/>
    </xf>
    <xf numFmtId="0" fontId="96" fillId="0" borderId="0" xfId="0" applyFont="1" applyFill="1" applyBorder="1" applyAlignment="1" applyProtection="1">
      <alignment horizontal="center" vertical="center" shrinkToFit="1"/>
      <protection/>
    </xf>
    <xf numFmtId="44" fontId="92" fillId="0" borderId="0" xfId="44" applyFont="1" applyFill="1" applyBorder="1" applyAlignment="1" applyProtection="1">
      <alignment horizontal="center"/>
      <protection/>
    </xf>
    <xf numFmtId="0" fontId="98" fillId="0" borderId="0" xfId="0" applyFont="1" applyFill="1" applyBorder="1" applyAlignment="1" applyProtection="1">
      <alignment horizontal="center" vertical="top"/>
      <protection/>
    </xf>
    <xf numFmtId="10" fontId="96" fillId="0" borderId="0" xfId="59" applyNumberFormat="1" applyFont="1" applyFill="1" applyBorder="1" applyAlignment="1" applyProtection="1">
      <alignment shrinkToFit="1"/>
      <protection/>
    </xf>
    <xf numFmtId="44" fontId="99" fillId="0" borderId="0" xfId="44" applyFont="1" applyFill="1" applyBorder="1" applyAlignment="1" applyProtection="1">
      <alignment horizontal="center" vertical="center" wrapText="1"/>
      <protection/>
    </xf>
    <xf numFmtId="0" fontId="96" fillId="0" borderId="0" xfId="0" applyFont="1" applyFill="1" applyBorder="1" applyAlignment="1" applyProtection="1">
      <alignment shrinkToFit="1"/>
      <protection/>
    </xf>
    <xf numFmtId="0" fontId="90" fillId="38" borderId="0" xfId="0" applyFont="1" applyFill="1" applyAlignment="1" applyProtection="1">
      <alignment/>
      <protection/>
    </xf>
    <xf numFmtId="0" fontId="90" fillId="39" borderId="20" xfId="0" applyFont="1" applyFill="1" applyBorder="1" applyAlignment="1" applyProtection="1">
      <alignment wrapText="1"/>
      <protection/>
    </xf>
    <xf numFmtId="0" fontId="90" fillId="38" borderId="0" xfId="0" applyFont="1" applyFill="1" applyAlignment="1" applyProtection="1">
      <alignment horizontal="right"/>
      <protection/>
    </xf>
    <xf numFmtId="0" fontId="90" fillId="38" borderId="0" xfId="0" applyFont="1" applyFill="1" applyAlignment="1" applyProtection="1">
      <alignment horizontal="right" wrapText="1"/>
      <protection/>
    </xf>
    <xf numFmtId="0" fontId="91" fillId="39" borderId="20" xfId="0" applyFont="1" applyFill="1" applyBorder="1" applyAlignment="1" applyProtection="1">
      <alignment horizontal="center" shrinkToFit="1"/>
      <protection/>
    </xf>
    <xf numFmtId="0" fontId="90" fillId="40" borderId="33" xfId="0" applyFont="1" applyFill="1" applyBorder="1" applyAlignment="1" applyProtection="1">
      <alignment wrapText="1"/>
      <protection/>
    </xf>
    <xf numFmtId="0" fontId="90" fillId="39" borderId="33" xfId="0" applyFont="1" applyFill="1" applyBorder="1" applyAlignment="1" applyProtection="1">
      <alignment wrapText="1"/>
      <protection/>
    </xf>
    <xf numFmtId="7" fontId="90" fillId="38" borderId="0" xfId="0" applyNumberFormat="1" applyFont="1" applyFill="1" applyBorder="1" applyAlignment="1" applyProtection="1">
      <alignment wrapText="1"/>
      <protection/>
    </xf>
    <xf numFmtId="0" fontId="90" fillId="38" borderId="27" xfId="0" applyFont="1" applyFill="1" applyBorder="1" applyAlignment="1" applyProtection="1">
      <alignment wrapText="1"/>
      <protection/>
    </xf>
    <xf numFmtId="0" fontId="90" fillId="38" borderId="38" xfId="0" applyFont="1" applyFill="1" applyBorder="1" applyAlignment="1" applyProtection="1">
      <alignment wrapText="1"/>
      <protection/>
    </xf>
    <xf numFmtId="0" fontId="90" fillId="38" borderId="39" xfId="0" applyFont="1" applyFill="1" applyBorder="1" applyAlignment="1" applyProtection="1">
      <alignment wrapText="1"/>
      <protection/>
    </xf>
    <xf numFmtId="0" fontId="90" fillId="38" borderId="40" xfId="0" applyFont="1" applyFill="1" applyBorder="1" applyAlignment="1" applyProtection="1">
      <alignment wrapText="1"/>
      <protection/>
    </xf>
    <xf numFmtId="0" fontId="90" fillId="38" borderId="35" xfId="0" applyFont="1" applyFill="1" applyBorder="1" applyAlignment="1" applyProtection="1">
      <alignment wrapText="1"/>
      <protection/>
    </xf>
    <xf numFmtId="44" fontId="90" fillId="38" borderId="0" xfId="0" applyNumberFormat="1" applyFont="1" applyFill="1" applyAlignment="1" applyProtection="1">
      <alignment/>
      <protection/>
    </xf>
    <xf numFmtId="0" fontId="89" fillId="0" borderId="0" xfId="0" applyFont="1" applyFill="1" applyBorder="1" applyAlignment="1" applyProtection="1">
      <alignment wrapText="1"/>
      <protection/>
    </xf>
    <xf numFmtId="0" fontId="89" fillId="0" borderId="0" xfId="0" applyFont="1" applyFill="1" applyBorder="1" applyAlignment="1" applyProtection="1">
      <alignment horizontal="left" vertical="top" shrinkToFit="1"/>
      <protection/>
    </xf>
    <xf numFmtId="7" fontId="91" fillId="0" borderId="0" xfId="0" applyNumberFormat="1" applyFont="1" applyFill="1" applyBorder="1" applyAlignment="1" applyProtection="1">
      <alignment shrinkToFit="1"/>
      <protection/>
    </xf>
    <xf numFmtId="0" fontId="100" fillId="0" borderId="0" xfId="0" applyFont="1" applyFill="1" applyBorder="1" applyAlignment="1" applyProtection="1">
      <alignment horizontal="center" vertical="top"/>
      <protection/>
    </xf>
    <xf numFmtId="0" fontId="101" fillId="0" borderId="0" xfId="0" applyFont="1" applyFill="1" applyBorder="1" applyAlignment="1" applyProtection="1">
      <alignment/>
      <protection/>
    </xf>
    <xf numFmtId="0" fontId="90" fillId="0" borderId="0" xfId="0" applyFont="1" applyFill="1" applyBorder="1" applyAlignment="1" applyProtection="1">
      <alignment vertical="top"/>
      <protection/>
    </xf>
    <xf numFmtId="0" fontId="96" fillId="33" borderId="0" xfId="0" applyFont="1" applyFill="1" applyAlignment="1" applyProtection="1">
      <alignment/>
      <protection/>
    </xf>
    <xf numFmtId="0" fontId="91" fillId="0" borderId="0" xfId="0" applyFont="1" applyFill="1" applyBorder="1" applyAlignment="1" applyProtection="1">
      <alignment horizontal="center" shrinkToFit="1"/>
      <protection/>
    </xf>
    <xf numFmtId="10" fontId="91" fillId="0" borderId="0" xfId="59" applyNumberFormat="1" applyFont="1" applyFill="1" applyBorder="1" applyAlignment="1" applyProtection="1">
      <alignment shrinkToFit="1"/>
      <protection/>
    </xf>
    <xf numFmtId="0" fontId="91" fillId="0" borderId="0" xfId="0" applyFont="1" applyFill="1" applyBorder="1" applyAlignment="1" applyProtection="1">
      <alignment horizontal="center" vertical="center" shrinkToFit="1"/>
      <protection/>
    </xf>
    <xf numFmtId="44" fontId="89" fillId="0" borderId="0" xfId="44" applyFont="1" applyFill="1" applyBorder="1" applyAlignment="1" applyProtection="1">
      <alignment horizontal="center"/>
      <protection/>
    </xf>
    <xf numFmtId="10" fontId="102" fillId="0" borderId="0" xfId="59" applyNumberFormat="1" applyFont="1" applyFill="1" applyBorder="1" applyAlignment="1" applyProtection="1">
      <alignment shrinkToFit="1"/>
      <protection/>
    </xf>
    <xf numFmtId="44" fontId="103" fillId="0" borderId="0" xfId="44" applyFont="1" applyFill="1" applyBorder="1" applyAlignment="1" applyProtection="1">
      <alignment horizontal="center" vertical="center" wrapText="1"/>
      <protection/>
    </xf>
    <xf numFmtId="7" fontId="91" fillId="0" borderId="0" xfId="44" applyNumberFormat="1" applyFont="1" applyFill="1" applyBorder="1" applyAlignment="1" applyProtection="1">
      <alignment vertical="top" shrinkToFit="1"/>
      <protection/>
    </xf>
    <xf numFmtId="44" fontId="103" fillId="0" borderId="0" xfId="44" applyFont="1" applyFill="1" applyBorder="1" applyAlignment="1" applyProtection="1">
      <alignment horizontal="center" vertical="top" wrapText="1"/>
      <protection/>
    </xf>
    <xf numFmtId="0" fontId="91" fillId="33" borderId="0" xfId="0" applyFont="1" applyFill="1" applyAlignment="1" applyProtection="1">
      <alignment vertical="top"/>
      <protection/>
    </xf>
    <xf numFmtId="0" fontId="90" fillId="0" borderId="0" xfId="0" applyFont="1" applyFill="1" applyBorder="1" applyAlignment="1" applyProtection="1">
      <alignment/>
      <protection/>
    </xf>
    <xf numFmtId="0" fontId="104" fillId="0" borderId="0" xfId="0" applyFont="1" applyFill="1" applyBorder="1" applyAlignment="1" applyProtection="1">
      <alignment/>
      <protection/>
    </xf>
    <xf numFmtId="0" fontId="90" fillId="38" borderId="0" xfId="0" applyNumberFormat="1" applyFont="1" applyFill="1" applyBorder="1" applyAlignment="1" applyProtection="1">
      <alignment wrapText="1"/>
      <protection/>
    </xf>
    <xf numFmtId="0" fontId="90" fillId="38" borderId="0" xfId="0" applyFont="1" applyFill="1" applyAlignment="1" applyProtection="1">
      <alignment wrapText="1"/>
      <protection/>
    </xf>
    <xf numFmtId="0" fontId="90" fillId="38" borderId="0" xfId="0" applyFont="1" applyFill="1" applyBorder="1" applyAlignment="1" applyProtection="1">
      <alignment wrapText="1"/>
      <protection/>
    </xf>
    <xf numFmtId="0" fontId="91" fillId="0" borderId="0" xfId="0" applyFont="1" applyFill="1" applyBorder="1" applyAlignment="1" applyProtection="1">
      <alignment horizontal="center" vertical="top" wrapText="1"/>
      <protection/>
    </xf>
    <xf numFmtId="7" fontId="89" fillId="0" borderId="0" xfId="44" applyNumberFormat="1" applyFont="1" applyFill="1" applyBorder="1" applyAlignment="1" applyProtection="1">
      <alignment shrinkToFit="1"/>
      <protection/>
    </xf>
    <xf numFmtId="0" fontId="89" fillId="0" borderId="0" xfId="0" applyFont="1" applyFill="1" applyBorder="1" applyAlignment="1" applyProtection="1">
      <alignment horizontal="right" vertical="top"/>
      <protection/>
    </xf>
    <xf numFmtId="0" fontId="90" fillId="0" borderId="0" xfId="0" applyFont="1" applyAlignment="1" applyProtection="1">
      <alignment/>
      <protection/>
    </xf>
    <xf numFmtId="0" fontId="95" fillId="0" borderId="0" xfId="0" applyFont="1" applyFill="1" applyBorder="1" applyAlignment="1" applyProtection="1">
      <alignment horizontal="center" wrapText="1"/>
      <protection/>
    </xf>
    <xf numFmtId="7" fontId="91" fillId="0" borderId="0" xfId="44" applyNumberFormat="1" applyFont="1" applyFill="1" applyBorder="1" applyAlignment="1" applyProtection="1">
      <alignment horizontal="right" vertical="center" shrinkToFit="1"/>
      <protection/>
    </xf>
    <xf numFmtId="165" fontId="91" fillId="0" borderId="0" xfId="44" applyNumberFormat="1" applyFont="1" applyFill="1" applyBorder="1" applyAlignment="1" applyProtection="1">
      <alignment horizontal="right" shrinkToFit="1"/>
      <protection/>
    </xf>
    <xf numFmtId="0" fontId="96" fillId="0" borderId="0" xfId="0" applyFont="1" applyFill="1" applyBorder="1" applyAlignment="1" applyProtection="1">
      <alignment horizontal="center" wrapText="1"/>
      <protection/>
    </xf>
    <xf numFmtId="0" fontId="91" fillId="0" borderId="0" xfId="0" applyFont="1" applyFill="1" applyBorder="1" applyAlignment="1" applyProtection="1">
      <alignment horizontal="center" wrapText="1"/>
      <protection/>
    </xf>
    <xf numFmtId="4" fontId="91" fillId="0" borderId="0" xfId="44" applyNumberFormat="1" applyFont="1" applyFill="1" applyBorder="1" applyAlignment="1" applyProtection="1">
      <alignment horizontal="right" shrinkToFit="1"/>
      <protection/>
    </xf>
    <xf numFmtId="44" fontId="105" fillId="33" borderId="0" xfId="44" applyFont="1" applyFill="1" applyBorder="1" applyAlignment="1" applyProtection="1">
      <alignment horizontal="center" wrapText="1"/>
      <protection/>
    </xf>
    <xf numFmtId="44" fontId="105" fillId="33" borderId="0" xfId="44" applyFont="1" applyFill="1" applyBorder="1" applyAlignment="1" applyProtection="1">
      <alignment horizontal="center" vertical="top" wrapText="1"/>
      <protection/>
    </xf>
    <xf numFmtId="0" fontId="95" fillId="0" borderId="0" xfId="0" applyFont="1" applyFill="1" applyBorder="1" applyAlignment="1" applyProtection="1">
      <alignment/>
      <protection/>
    </xf>
    <xf numFmtId="0" fontId="89" fillId="0" borderId="0" xfId="0" applyFont="1" applyFill="1" applyBorder="1" applyAlignment="1" applyProtection="1">
      <alignment/>
      <protection locked="0"/>
    </xf>
    <xf numFmtId="49" fontId="20" fillId="33" borderId="33" xfId="0" applyNumberFormat="1" applyFont="1" applyFill="1" applyBorder="1" applyAlignment="1" applyProtection="1">
      <alignment horizontal="left" vertical="top" wrapText="1"/>
      <protection/>
    </xf>
    <xf numFmtId="49" fontId="12" fillId="33" borderId="26" xfId="0" applyNumberFormat="1" applyFont="1" applyFill="1" applyBorder="1" applyAlignment="1" applyProtection="1">
      <alignment horizontal="left" vertical="top" wrapText="1" indent="1"/>
      <protection/>
    </xf>
    <xf numFmtId="49" fontId="12" fillId="33" borderId="37" xfId="0" applyNumberFormat="1" applyFont="1" applyFill="1" applyBorder="1" applyAlignment="1" applyProtection="1">
      <alignment horizontal="left" vertical="top" wrapText="1" indent="1"/>
      <protection/>
    </xf>
    <xf numFmtId="49" fontId="20" fillId="0" borderId="28" xfId="0" applyNumberFormat="1" applyFont="1" applyFill="1" applyBorder="1" applyAlignment="1" applyProtection="1">
      <alignment horizontal="left" vertical="top" wrapText="1" shrinkToFit="1"/>
      <protection/>
    </xf>
    <xf numFmtId="49" fontId="20" fillId="0" borderId="20" xfId="0" applyNumberFormat="1" applyFont="1" applyFill="1" applyBorder="1" applyAlignment="1" applyProtection="1">
      <alignment horizontal="left" vertical="top" wrapText="1" shrinkToFit="1"/>
      <protection/>
    </xf>
    <xf numFmtId="49" fontId="20" fillId="33" borderId="32" xfId="0" applyNumberFormat="1" applyFont="1" applyFill="1" applyBorder="1" applyAlignment="1" applyProtection="1">
      <alignment horizontal="left" vertical="top" wrapText="1"/>
      <protection/>
    </xf>
    <xf numFmtId="49" fontId="20" fillId="0" borderId="27" xfId="0" applyNumberFormat="1" applyFont="1" applyBorder="1" applyAlignment="1" applyProtection="1">
      <alignment horizontal="left" vertical="top" wrapText="1"/>
      <protection/>
    </xf>
    <xf numFmtId="49" fontId="12" fillId="33" borderId="20" xfId="0" applyNumberFormat="1" applyFont="1" applyFill="1" applyBorder="1" applyAlignment="1" applyProtection="1">
      <alignment horizontal="left" vertical="top" wrapText="1"/>
      <protection/>
    </xf>
    <xf numFmtId="49" fontId="20" fillId="0" borderId="17" xfId="0" applyNumberFormat="1" applyFont="1" applyBorder="1" applyAlignment="1" applyProtection="1">
      <alignment horizontal="left" vertical="top" wrapText="1"/>
      <protection/>
    </xf>
    <xf numFmtId="49" fontId="20" fillId="33" borderId="28" xfId="0" applyNumberFormat="1" applyFont="1" applyFill="1" applyBorder="1" applyAlignment="1" applyProtection="1">
      <alignment horizontal="left" vertical="top"/>
      <protection/>
    </xf>
    <xf numFmtId="49" fontId="20" fillId="0" borderId="0" xfId="0" applyNumberFormat="1" applyFont="1" applyAlignment="1">
      <alignment horizontal="left"/>
    </xf>
    <xf numFmtId="49" fontId="20" fillId="0" borderId="0" xfId="0" applyNumberFormat="1" applyFont="1" applyAlignment="1">
      <alignment/>
    </xf>
    <xf numFmtId="49" fontId="0" fillId="0" borderId="0" xfId="0" applyNumberFormat="1" applyAlignment="1">
      <alignment/>
    </xf>
    <xf numFmtId="49" fontId="12" fillId="0" borderId="0" xfId="0" applyNumberFormat="1" applyFont="1" applyAlignment="1">
      <alignment horizontal="left"/>
    </xf>
    <xf numFmtId="49" fontId="12" fillId="0" borderId="0" xfId="0" applyNumberFormat="1" applyFont="1" applyAlignment="1">
      <alignment horizontal="right"/>
    </xf>
    <xf numFmtId="39" fontId="12" fillId="0" borderId="0" xfId="0" applyNumberFormat="1" applyFont="1" applyAlignment="1">
      <alignment/>
    </xf>
    <xf numFmtId="49" fontId="12" fillId="0" borderId="0" xfId="0" applyNumberFormat="1" applyFont="1" applyAlignment="1">
      <alignment/>
    </xf>
    <xf numFmtId="49" fontId="20" fillId="0" borderId="0" xfId="0" applyNumberFormat="1" applyFont="1" applyAlignment="1">
      <alignment horizontal="left" indent="7"/>
    </xf>
    <xf numFmtId="186" fontId="12" fillId="0" borderId="0" xfId="0" applyNumberFormat="1" applyFont="1" applyAlignment="1">
      <alignment horizontal="left"/>
    </xf>
    <xf numFmtId="7" fontId="28" fillId="0" borderId="0" xfId="0" applyNumberFormat="1" applyFont="1" applyAlignment="1">
      <alignment horizontal="left"/>
    </xf>
    <xf numFmtId="49" fontId="28" fillId="0" borderId="0" xfId="0" applyNumberFormat="1" applyFont="1" applyAlignment="1">
      <alignment horizontal="left"/>
    </xf>
    <xf numFmtId="0" fontId="20" fillId="33" borderId="30" xfId="0" applyNumberFormat="1" applyFont="1" applyFill="1" applyBorder="1" applyAlignment="1" applyProtection="1">
      <alignment horizontal="left" vertical="top" wrapText="1"/>
      <protection/>
    </xf>
    <xf numFmtId="0" fontId="20" fillId="33" borderId="28" xfId="0" applyNumberFormat="1" applyFont="1" applyFill="1" applyBorder="1" applyAlignment="1" applyProtection="1">
      <alignment horizontal="left" vertical="top" wrapText="1"/>
      <protection/>
    </xf>
    <xf numFmtId="0" fontId="20" fillId="33" borderId="20" xfId="0" applyNumberFormat="1" applyFont="1" applyFill="1" applyBorder="1" applyAlignment="1" applyProtection="1">
      <alignment horizontal="left" vertical="top" wrapText="1"/>
      <protection/>
    </xf>
    <xf numFmtId="0" fontId="20" fillId="0" borderId="27" xfId="0" applyNumberFormat="1" applyFont="1" applyBorder="1" applyAlignment="1" applyProtection="1">
      <alignment horizontal="left" vertical="top" wrapText="1"/>
      <protection/>
    </xf>
    <xf numFmtId="0" fontId="20" fillId="0" borderId="20" xfId="0" applyNumberFormat="1" applyFont="1" applyBorder="1" applyAlignment="1" applyProtection="1">
      <alignment horizontal="left" vertical="top" wrapText="1"/>
      <protection/>
    </xf>
    <xf numFmtId="0" fontId="12" fillId="33" borderId="28" xfId="0" applyNumberFormat="1" applyFont="1" applyFill="1" applyBorder="1" applyAlignment="1" applyProtection="1">
      <alignment horizontal="left" vertical="top" wrapText="1"/>
      <protection/>
    </xf>
    <xf numFmtId="0" fontId="12" fillId="0" borderId="17" xfId="0" applyNumberFormat="1" applyFont="1" applyBorder="1" applyAlignment="1" applyProtection="1">
      <alignment horizontal="left" vertical="top" wrapText="1"/>
      <protection/>
    </xf>
    <xf numFmtId="0" fontId="20" fillId="0" borderId="17" xfId="0" applyNumberFormat="1" applyFont="1" applyBorder="1" applyAlignment="1" applyProtection="1">
      <alignment horizontal="left" vertical="top" wrapText="1"/>
      <protection/>
    </xf>
    <xf numFmtId="0" fontId="89" fillId="0" borderId="0" xfId="0" applyFont="1" applyFill="1" applyBorder="1" applyAlignment="1" applyProtection="1">
      <alignment horizontal="left" vertical="top" wrapText="1"/>
      <protection/>
    </xf>
    <xf numFmtId="0" fontId="90" fillId="0" borderId="0" xfId="0" applyFont="1" applyFill="1" applyBorder="1" applyAlignment="1" applyProtection="1">
      <alignment/>
      <protection/>
    </xf>
    <xf numFmtId="0" fontId="95" fillId="0" borderId="0" xfId="0" applyFont="1" applyFill="1" applyBorder="1" applyAlignment="1" applyProtection="1">
      <alignment horizontal="left" vertical="top" wrapText="1"/>
      <protection/>
    </xf>
    <xf numFmtId="0" fontId="20" fillId="33" borderId="17" xfId="0" applyFont="1" applyFill="1" applyBorder="1" applyAlignment="1" applyProtection="1">
      <alignment horizontal="left" vertical="top"/>
      <protection/>
    </xf>
    <xf numFmtId="49" fontId="20" fillId="0" borderId="20" xfId="0" applyNumberFormat="1" applyFont="1" applyFill="1" applyBorder="1" applyAlignment="1" applyProtection="1">
      <alignment horizontal="left" vertical="top" shrinkToFit="1"/>
      <protection/>
    </xf>
    <xf numFmtId="10" fontId="12" fillId="41" borderId="20" xfId="44" applyNumberFormat="1" applyFont="1" applyFill="1" applyBorder="1" applyAlignment="1" applyProtection="1">
      <alignment horizontal="right" shrinkToFit="1"/>
      <protection/>
    </xf>
    <xf numFmtId="0" fontId="96" fillId="33" borderId="0" xfId="0" applyFont="1" applyFill="1" applyAlignment="1" applyProtection="1">
      <alignment/>
      <protection hidden="1"/>
    </xf>
    <xf numFmtId="0" fontId="106" fillId="0" borderId="0" xfId="0" applyFont="1" applyFill="1" applyBorder="1" applyAlignment="1" applyProtection="1">
      <alignment horizontal="center" vertical="top" wrapText="1"/>
      <protection hidden="1"/>
    </xf>
    <xf numFmtId="44" fontId="95" fillId="0" borderId="0" xfId="44" applyFont="1" applyFill="1" applyBorder="1" applyAlignment="1" applyProtection="1">
      <alignment horizontal="center" shrinkToFit="1"/>
      <protection/>
    </xf>
    <xf numFmtId="49" fontId="10" fillId="36" borderId="27" xfId="44" applyNumberFormat="1" applyFont="1" applyFill="1" applyBorder="1" applyAlignment="1" applyProtection="1">
      <alignment horizontal="center" vertical="center" shrinkToFit="1"/>
      <protection locked="0"/>
    </xf>
    <xf numFmtId="0" fontId="22" fillId="33" borderId="0" xfId="0" applyFont="1" applyFill="1" applyAlignment="1" applyProtection="1">
      <alignment horizontal="center"/>
      <protection/>
    </xf>
    <xf numFmtId="44" fontId="96" fillId="0" borderId="0" xfId="44" applyFont="1" applyFill="1" applyBorder="1" applyAlignment="1" applyProtection="1">
      <alignment horizontal="center" shrinkToFit="1"/>
      <protection/>
    </xf>
    <xf numFmtId="0" fontId="97" fillId="0" borderId="0" xfId="0" applyFont="1" applyFill="1" applyBorder="1" applyAlignment="1" applyProtection="1">
      <alignment horizontal="center"/>
      <protection/>
    </xf>
    <xf numFmtId="0" fontId="96" fillId="0" borderId="0" xfId="0" applyFont="1" applyFill="1" applyBorder="1" applyAlignment="1" applyProtection="1">
      <alignment horizontal="left" vertical="top" wrapText="1"/>
      <protection hidden="1"/>
    </xf>
    <xf numFmtId="44" fontId="96" fillId="0" borderId="0" xfId="44" applyFont="1" applyFill="1" applyBorder="1" applyAlignment="1" applyProtection="1">
      <alignment/>
      <protection/>
    </xf>
    <xf numFmtId="0" fontId="96" fillId="0" borderId="0" xfId="0" applyFont="1" applyFill="1" applyBorder="1" applyAlignment="1" applyProtection="1">
      <alignment horizontal="left" vertical="top" wrapText="1" indent="1"/>
      <protection hidden="1"/>
    </xf>
    <xf numFmtId="0" fontId="96" fillId="0" borderId="0" xfId="0" applyFont="1" applyFill="1" applyBorder="1" applyAlignment="1" applyProtection="1">
      <alignment horizontal="left" vertical="top" wrapText="1" indent="1"/>
      <protection/>
    </xf>
    <xf numFmtId="0" fontId="29" fillId="33" borderId="0" xfId="0" applyFont="1" applyFill="1" applyBorder="1" applyAlignment="1" applyProtection="1">
      <alignment/>
      <protection/>
    </xf>
    <xf numFmtId="0" fontId="95" fillId="0" borderId="0" xfId="0" applyFont="1" applyFill="1" applyBorder="1" applyAlignment="1" applyProtection="1">
      <alignment horizontal="left" vertical="top" wrapText="1" indent="1"/>
      <protection/>
    </xf>
    <xf numFmtId="10" fontId="12" fillId="33" borderId="34" xfId="59" applyNumberFormat="1" applyFont="1" applyFill="1" applyBorder="1" applyAlignment="1" applyProtection="1">
      <alignment shrinkToFit="1"/>
      <protection/>
    </xf>
    <xf numFmtId="0" fontId="89" fillId="33" borderId="0" xfId="0" applyFont="1" applyFill="1" applyBorder="1" applyAlignment="1" applyProtection="1">
      <alignment/>
      <protection/>
    </xf>
    <xf numFmtId="0" fontId="95" fillId="33" borderId="0" xfId="0" applyFont="1" applyFill="1" applyBorder="1" applyAlignment="1" applyProtection="1">
      <alignment/>
      <protection/>
    </xf>
    <xf numFmtId="0" fontId="96" fillId="33" borderId="0" xfId="0" applyFont="1" applyFill="1" applyBorder="1" applyAlignment="1" applyProtection="1">
      <alignment/>
      <protection hidden="1"/>
    </xf>
    <xf numFmtId="0" fontId="97" fillId="33" borderId="0" xfId="0" applyFont="1" applyFill="1" applyBorder="1" applyAlignment="1" applyProtection="1">
      <alignment/>
      <protection/>
    </xf>
    <xf numFmtId="0" fontId="96" fillId="33" borderId="0" xfId="0" applyFont="1" applyFill="1" applyBorder="1" applyAlignment="1" applyProtection="1">
      <alignment horizontal="center" wrapText="1"/>
      <protection/>
    </xf>
    <xf numFmtId="0" fontId="93" fillId="33" borderId="0" xfId="0" applyFont="1" applyFill="1" applyBorder="1" applyAlignment="1" applyProtection="1">
      <alignment/>
      <protection/>
    </xf>
    <xf numFmtId="0" fontId="89" fillId="33" borderId="0" xfId="0" applyNumberFormat="1" applyFont="1" applyFill="1" applyBorder="1" applyAlignment="1" applyProtection="1">
      <alignment/>
      <protection/>
    </xf>
    <xf numFmtId="0" fontId="107" fillId="33" borderId="0" xfId="0" applyFont="1" applyFill="1" applyBorder="1" applyAlignment="1" applyProtection="1">
      <alignment horizontal="center" vertical="center" wrapText="1"/>
      <protection/>
    </xf>
    <xf numFmtId="0" fontId="108" fillId="33" borderId="0" xfId="0" applyFont="1" applyFill="1" applyBorder="1" applyAlignment="1" applyProtection="1">
      <alignment horizontal="center" vertical="top" wrapText="1"/>
      <protection/>
    </xf>
    <xf numFmtId="7" fontId="20" fillId="33" borderId="20" xfId="0" applyNumberFormat="1" applyFont="1" applyFill="1" applyBorder="1" applyAlignment="1" applyProtection="1">
      <alignment horizontal="center" vertical="center" shrinkToFit="1"/>
      <protection/>
    </xf>
    <xf numFmtId="10" fontId="12" fillId="33" borderId="20" xfId="44" applyNumberFormat="1" applyFont="1" applyFill="1" applyBorder="1" applyAlignment="1" applyProtection="1">
      <alignment horizontal="right" shrinkToFit="1"/>
      <protection/>
    </xf>
    <xf numFmtId="0" fontId="12" fillId="35" borderId="20" xfId="59" applyNumberFormat="1" applyFont="1" applyFill="1" applyBorder="1" applyAlignment="1" applyProtection="1">
      <alignment horizontal="center" vertical="center" shrinkToFit="1"/>
      <protection locked="0"/>
    </xf>
    <xf numFmtId="0" fontId="20" fillId="33" borderId="20" xfId="0" applyFont="1" applyFill="1" applyBorder="1" applyAlignment="1" applyProtection="1">
      <alignment horizontal="left" vertical="top"/>
      <protection/>
    </xf>
    <xf numFmtId="0" fontId="20" fillId="0" borderId="20" xfId="0" applyFont="1" applyFill="1" applyBorder="1" applyAlignment="1" applyProtection="1">
      <alignment horizontal="left" vertical="top"/>
      <protection/>
    </xf>
    <xf numFmtId="0" fontId="20" fillId="33" borderId="28" xfId="0" applyFont="1" applyFill="1" applyBorder="1" applyAlignment="1" applyProtection="1">
      <alignment horizontal="left" vertical="top"/>
      <protection/>
    </xf>
    <xf numFmtId="0" fontId="20" fillId="33" borderId="27" xfId="0" applyFont="1" applyFill="1" applyBorder="1" applyAlignment="1" applyProtection="1">
      <alignment horizontal="left" vertical="top"/>
      <protection/>
    </xf>
    <xf numFmtId="0" fontId="20" fillId="33" borderId="0" xfId="0" applyFont="1" applyFill="1" applyAlignment="1" applyProtection="1">
      <alignment horizontal="left" vertical="top"/>
      <protection/>
    </xf>
    <xf numFmtId="0" fontId="12" fillId="33" borderId="0" xfId="0" applyFont="1" applyFill="1" applyAlignment="1" applyProtection="1">
      <alignment horizontal="left" wrapText="1"/>
      <protection/>
    </xf>
    <xf numFmtId="0" fontId="109" fillId="33" borderId="0" xfId="0" applyFont="1" applyFill="1" applyAlignment="1" applyProtection="1">
      <alignment horizontal="left" vertical="top"/>
      <protection/>
    </xf>
    <xf numFmtId="0" fontId="9" fillId="33" borderId="0" xfId="0" applyFont="1" applyFill="1" applyAlignment="1" applyProtection="1">
      <alignment horizontal="left" wrapText="1"/>
      <protection/>
    </xf>
    <xf numFmtId="0" fontId="9" fillId="33" borderId="0" xfId="0" applyFont="1" applyFill="1" applyBorder="1" applyAlignment="1" applyProtection="1">
      <alignment horizontal="left" wrapText="1"/>
      <protection/>
    </xf>
    <xf numFmtId="0" fontId="12" fillId="33" borderId="0" xfId="0" applyFont="1" applyFill="1" applyBorder="1" applyAlignment="1" applyProtection="1">
      <alignment horizontal="left" vertical="top" wrapText="1"/>
      <protection/>
    </xf>
    <xf numFmtId="0" fontId="9" fillId="33" borderId="0" xfId="0" applyFont="1" applyFill="1" applyAlignment="1" applyProtection="1">
      <alignment horizontal="left"/>
      <protection/>
    </xf>
    <xf numFmtId="1" fontId="0" fillId="37" borderId="33" xfId="44" applyNumberFormat="1" applyFont="1" applyFill="1" applyBorder="1" applyAlignment="1" applyProtection="1">
      <alignment horizontal="center" vertical="center" shrinkToFit="1"/>
      <protection/>
    </xf>
    <xf numFmtId="1" fontId="0" fillId="30" borderId="17" xfId="44" applyNumberFormat="1" applyFont="1" applyFill="1" applyBorder="1" applyAlignment="1" applyProtection="1">
      <alignment horizontal="center" vertical="center" shrinkToFit="1"/>
      <protection/>
    </xf>
    <xf numFmtId="10" fontId="0" fillId="0" borderId="33" xfId="44" applyNumberFormat="1" applyFont="1" applyFill="1" applyBorder="1" applyAlignment="1" applyProtection="1">
      <alignment horizontal="right" shrinkToFit="1"/>
      <protection/>
    </xf>
    <xf numFmtId="10" fontId="0" fillId="33" borderId="30" xfId="44" applyNumberFormat="1" applyFont="1" applyFill="1" applyBorder="1" applyAlignment="1" applyProtection="1">
      <alignment horizontal="right" shrinkToFit="1"/>
      <protection/>
    </xf>
    <xf numFmtId="10" fontId="0" fillId="33" borderId="17" xfId="44" applyNumberFormat="1" applyFont="1" applyFill="1" applyBorder="1" applyAlignment="1" applyProtection="1">
      <alignment horizontal="right" shrinkToFit="1"/>
      <protection/>
    </xf>
    <xf numFmtId="0" fontId="0" fillId="30" borderId="33" xfId="0" applyFont="1" applyFill="1" applyBorder="1" applyAlignment="1" applyProtection="1">
      <alignment horizontal="center" vertical="center"/>
      <protection/>
    </xf>
    <xf numFmtId="0" fontId="0" fillId="30" borderId="20" xfId="0" applyFont="1" applyFill="1" applyBorder="1" applyAlignment="1" applyProtection="1">
      <alignment horizontal="center" vertical="center" wrapText="1"/>
      <protection/>
    </xf>
    <xf numFmtId="10" fontId="0" fillId="30" borderId="33" xfId="0" applyNumberFormat="1" applyFont="1" applyFill="1" applyBorder="1" applyAlignment="1" applyProtection="1">
      <alignment horizontal="right"/>
      <protection/>
    </xf>
    <xf numFmtId="0" fontId="0" fillId="0" borderId="17" xfId="0" applyFont="1" applyFill="1" applyBorder="1" applyAlignment="1" applyProtection="1">
      <alignment horizontal="center" vertical="center" wrapText="1"/>
      <protection/>
    </xf>
    <xf numFmtId="10" fontId="0" fillId="33" borderId="17" xfId="0" applyNumberFormat="1" applyFont="1" applyFill="1" applyBorder="1" applyAlignment="1" applyProtection="1">
      <alignment horizontal="right"/>
      <protection/>
    </xf>
    <xf numFmtId="0" fontId="89" fillId="0" borderId="0" xfId="0" applyFont="1" applyFill="1" applyBorder="1" applyAlignment="1" applyProtection="1">
      <alignment horizontal="left" vertical="top" wrapText="1"/>
      <protection/>
    </xf>
    <xf numFmtId="0" fontId="89" fillId="33" borderId="0" xfId="0" applyFont="1" applyFill="1" applyBorder="1" applyAlignment="1" applyProtection="1">
      <alignment horizontal="center" vertical="top" wrapText="1"/>
      <protection/>
    </xf>
    <xf numFmtId="49" fontId="12" fillId="0" borderId="20" xfId="0" applyNumberFormat="1" applyFont="1" applyBorder="1" applyAlignment="1" applyProtection="1">
      <alignment horizontal="left" vertical="top" wrapText="1"/>
      <protection/>
    </xf>
    <xf numFmtId="7" fontId="12" fillId="0" borderId="32" xfId="44" applyNumberFormat="1" applyFont="1" applyFill="1" applyBorder="1" applyAlignment="1" applyProtection="1">
      <alignment horizontal="right" shrinkToFit="1"/>
      <protection/>
    </xf>
    <xf numFmtId="0" fontId="98" fillId="0" borderId="0" xfId="0" applyFont="1" applyFill="1" applyBorder="1" applyAlignment="1" applyProtection="1">
      <alignment horizontal="center" vertical="top"/>
      <protection/>
    </xf>
    <xf numFmtId="0" fontId="89" fillId="0" borderId="0" xfId="0" applyFont="1" applyFill="1" applyBorder="1" applyAlignment="1" applyProtection="1">
      <alignment horizontal="left" vertical="top" wrapText="1"/>
      <protection/>
    </xf>
    <xf numFmtId="0" fontId="98" fillId="0" borderId="0" xfId="0" applyFont="1" applyFill="1" applyBorder="1" applyAlignment="1" applyProtection="1">
      <alignment horizontal="center" wrapText="1"/>
      <protection/>
    </xf>
    <xf numFmtId="0" fontId="95" fillId="0" borderId="0" xfId="0" applyFont="1" applyFill="1" applyBorder="1" applyAlignment="1" applyProtection="1">
      <alignment horizontal="left" vertical="top" wrapText="1"/>
      <protection/>
    </xf>
    <xf numFmtId="0" fontId="110" fillId="0" borderId="0" xfId="0" applyFont="1" applyFill="1" applyBorder="1" applyAlignment="1" applyProtection="1">
      <alignment/>
      <protection/>
    </xf>
    <xf numFmtId="0" fontId="110" fillId="0" borderId="0" xfId="0" applyFont="1" applyFill="1" applyBorder="1" applyAlignment="1" applyProtection="1">
      <alignment horizontal="center"/>
      <protection/>
    </xf>
    <xf numFmtId="0" fontId="95" fillId="0" borderId="0" xfId="0" applyFont="1" applyFill="1" applyBorder="1" applyAlignment="1" applyProtection="1">
      <alignment horizontal="left" vertical="top"/>
      <protection/>
    </xf>
    <xf numFmtId="0" fontId="96" fillId="0" borderId="0" xfId="0" applyFont="1" applyFill="1" applyBorder="1" applyAlignment="1" applyProtection="1">
      <alignment horizontal="left" vertical="top"/>
      <protection/>
    </xf>
    <xf numFmtId="0" fontId="91" fillId="0" borderId="0" xfId="0" applyFont="1" applyFill="1" applyBorder="1" applyAlignment="1" applyProtection="1">
      <alignment wrapText="1"/>
      <protection/>
    </xf>
    <xf numFmtId="0" fontId="89" fillId="0" borderId="0" xfId="0" applyFont="1" applyFill="1" applyBorder="1" applyAlignment="1" applyProtection="1">
      <alignment horizontal="center"/>
      <protection/>
    </xf>
    <xf numFmtId="0" fontId="0" fillId="38" borderId="38" xfId="0" applyFont="1" applyFill="1" applyBorder="1" applyAlignment="1" applyProtection="1">
      <alignment wrapText="1"/>
      <protection/>
    </xf>
    <xf numFmtId="187" fontId="12" fillId="33" borderId="20" xfId="44" applyNumberFormat="1" applyFont="1" applyFill="1" applyBorder="1" applyAlignment="1" applyProtection="1">
      <alignment horizontal="left" shrinkToFit="1"/>
      <protection/>
    </xf>
    <xf numFmtId="187" fontId="12" fillId="36" borderId="20" xfId="44" applyNumberFormat="1" applyFont="1" applyFill="1" applyBorder="1" applyAlignment="1" applyProtection="1">
      <alignment horizontal="left" shrinkToFit="1"/>
      <protection locked="0"/>
    </xf>
    <xf numFmtId="1" fontId="12" fillId="36" borderId="27" xfId="0" applyNumberFormat="1" applyFont="1" applyFill="1" applyBorder="1" applyAlignment="1" applyProtection="1">
      <alignment horizontal="center" vertical="center" shrinkToFit="1"/>
      <protection locked="0"/>
    </xf>
    <xf numFmtId="1" fontId="12" fillId="36" borderId="33" xfId="0" applyNumberFormat="1" applyFont="1" applyFill="1" applyBorder="1" applyAlignment="1" applyProtection="1">
      <alignment horizontal="center" vertical="center" shrinkToFit="1"/>
      <protection locked="0"/>
    </xf>
    <xf numFmtId="196" fontId="12" fillId="36" borderId="28" xfId="44" applyNumberFormat="1" applyFont="1" applyFill="1" applyBorder="1" applyAlignment="1" applyProtection="1">
      <alignment horizontal="left" shrinkToFit="1"/>
      <protection locked="0"/>
    </xf>
    <xf numFmtId="196" fontId="12" fillId="36" borderId="20" xfId="44" applyNumberFormat="1" applyFont="1" applyFill="1" applyBorder="1" applyAlignment="1" applyProtection="1">
      <alignment horizontal="left" shrinkToFit="1"/>
      <protection locked="0"/>
    </xf>
    <xf numFmtId="196" fontId="12" fillId="34" borderId="27" xfId="44" applyNumberFormat="1" applyFont="1" applyFill="1" applyBorder="1" applyAlignment="1" applyProtection="1">
      <alignment horizontal="left" shrinkToFit="1"/>
      <protection/>
    </xf>
    <xf numFmtId="196" fontId="12" fillId="34" borderId="33" xfId="44" applyNumberFormat="1" applyFont="1" applyFill="1" applyBorder="1" applyAlignment="1" applyProtection="1">
      <alignment horizontal="left" shrinkToFit="1"/>
      <protection/>
    </xf>
    <xf numFmtId="196" fontId="12" fillId="33" borderId="20" xfId="44" applyNumberFormat="1" applyFont="1" applyFill="1" applyBorder="1" applyAlignment="1" applyProtection="1">
      <alignment horizontal="left" shrinkToFit="1"/>
      <protection/>
    </xf>
    <xf numFmtId="196" fontId="12" fillId="34" borderId="20" xfId="0" applyNumberFormat="1" applyFont="1" applyFill="1" applyBorder="1" applyAlignment="1" applyProtection="1">
      <alignment horizontal="left"/>
      <protection/>
    </xf>
    <xf numFmtId="196" fontId="12" fillId="34" borderId="28" xfId="44" applyNumberFormat="1" applyFont="1" applyFill="1" applyBorder="1" applyAlignment="1" applyProtection="1">
      <alignment horizontal="left" shrinkToFit="1"/>
      <protection/>
    </xf>
    <xf numFmtId="196" fontId="12" fillId="34" borderId="20" xfId="44" applyNumberFormat="1" applyFont="1" applyFill="1" applyBorder="1" applyAlignment="1" applyProtection="1">
      <alignment horizontal="left" shrinkToFit="1"/>
      <protection/>
    </xf>
    <xf numFmtId="196" fontId="12" fillId="33" borderId="36" xfId="44" applyNumberFormat="1" applyFont="1" applyFill="1" applyBorder="1" applyAlignment="1" applyProtection="1">
      <alignment horizontal="left" shrinkToFit="1"/>
      <protection/>
    </xf>
    <xf numFmtId="197" fontId="12" fillId="36" borderId="20" xfId="44" applyNumberFormat="1" applyFont="1" applyFill="1" applyBorder="1" applyAlignment="1" applyProtection="1">
      <alignment horizontal="left" shrinkToFit="1"/>
      <protection locked="0"/>
    </xf>
    <xf numFmtId="196" fontId="12" fillId="33" borderId="20" xfId="0" applyNumberFormat="1" applyFont="1" applyFill="1" applyBorder="1" applyAlignment="1" applyProtection="1">
      <alignment horizontal="right"/>
      <protection/>
    </xf>
    <xf numFmtId="196" fontId="12" fillId="33" borderId="20" xfId="0" applyNumberFormat="1" applyFont="1" applyFill="1" applyBorder="1" applyAlignment="1" applyProtection="1">
      <alignment horizontal="left"/>
      <protection/>
    </xf>
    <xf numFmtId="196" fontId="0" fillId="37" borderId="20" xfId="44" applyNumberFormat="1" applyFont="1" applyFill="1" applyBorder="1" applyAlignment="1" applyProtection="1">
      <alignment horizontal="left" shrinkToFit="1"/>
      <protection/>
    </xf>
    <xf numFmtId="196" fontId="0" fillId="30" borderId="20" xfId="44" applyNumberFormat="1" applyFont="1" applyFill="1" applyBorder="1" applyAlignment="1" applyProtection="1">
      <alignment horizontal="left" shrinkToFit="1"/>
      <protection/>
    </xf>
    <xf numFmtId="196" fontId="12" fillId="36" borderId="33" xfId="44" applyNumberFormat="1" applyFont="1" applyFill="1" applyBorder="1" applyAlignment="1" applyProtection="1">
      <alignment horizontal="left" shrinkToFit="1"/>
      <protection locked="0"/>
    </xf>
    <xf numFmtId="196" fontId="0" fillId="33" borderId="20" xfId="0" applyNumberFormat="1" applyFont="1" applyFill="1" applyBorder="1" applyAlignment="1" applyProtection="1">
      <alignment horizontal="left" shrinkToFit="1"/>
      <protection/>
    </xf>
    <xf numFmtId="196" fontId="0" fillId="0" borderId="28" xfId="0" applyNumberFormat="1" applyFont="1" applyFill="1" applyBorder="1" applyAlignment="1" applyProtection="1">
      <alignment horizontal="left" shrinkToFit="1"/>
      <protection/>
    </xf>
    <xf numFmtId="196" fontId="0" fillId="0" borderId="20" xfId="0" applyNumberFormat="1" applyFont="1" applyFill="1" applyBorder="1" applyAlignment="1" applyProtection="1">
      <alignment horizontal="left" shrinkToFit="1"/>
      <protection/>
    </xf>
    <xf numFmtId="7" fontId="22" fillId="33" borderId="0" xfId="0" applyNumberFormat="1" applyFont="1" applyFill="1" applyBorder="1" applyAlignment="1" applyProtection="1">
      <alignment horizontal="center"/>
      <protection/>
    </xf>
    <xf numFmtId="197" fontId="0" fillId="30" borderId="17" xfId="44" applyNumberFormat="1" applyFont="1" applyFill="1" applyBorder="1" applyAlignment="1" applyProtection="1">
      <alignment horizontal="left" shrinkToFit="1"/>
      <protection/>
    </xf>
    <xf numFmtId="197" fontId="0" fillId="30" borderId="20" xfId="44" applyNumberFormat="1" applyFont="1" applyFill="1" applyBorder="1" applyAlignment="1" applyProtection="1">
      <alignment horizontal="left" shrinkToFit="1"/>
      <protection/>
    </xf>
    <xf numFmtId="0" fontId="0" fillId="35" borderId="33" xfId="0" applyFont="1" applyFill="1" applyBorder="1" applyAlignment="1" applyProtection="1">
      <alignment horizontal="center" vertical="center"/>
      <protection locked="0"/>
    </xf>
    <xf numFmtId="0" fontId="0" fillId="35" borderId="20" xfId="0" applyFont="1" applyFill="1" applyBorder="1" applyAlignment="1" applyProtection="1">
      <alignment horizontal="center" vertical="center" wrapText="1"/>
      <protection locked="0"/>
    </xf>
    <xf numFmtId="49" fontId="0" fillId="30" borderId="20" xfId="44" applyNumberFormat="1" applyFont="1" applyFill="1" applyBorder="1" applyAlignment="1" applyProtection="1">
      <alignment horizontal="center" vertical="center" shrinkToFit="1"/>
      <protection/>
    </xf>
    <xf numFmtId="14" fontId="0" fillId="33" borderId="0" xfId="0" applyNumberFormat="1" applyFill="1" applyAlignment="1">
      <alignment/>
    </xf>
    <xf numFmtId="0" fontId="0" fillId="33" borderId="0" xfId="0" applyFont="1" applyFill="1" applyAlignment="1">
      <alignment wrapText="1"/>
    </xf>
    <xf numFmtId="14" fontId="90" fillId="0" borderId="0" xfId="0" applyNumberFormat="1" applyFont="1" applyFill="1" applyBorder="1" applyAlignment="1" applyProtection="1">
      <alignment/>
      <protection hidden="1"/>
    </xf>
    <xf numFmtId="0" fontId="90" fillId="0" borderId="0" xfId="0" applyFont="1" applyFill="1" applyBorder="1" applyAlignment="1" applyProtection="1">
      <alignment/>
      <protection hidden="1"/>
    </xf>
    <xf numFmtId="43" fontId="90" fillId="0" borderId="0" xfId="42" applyFont="1" applyFill="1" applyBorder="1" applyAlignment="1" applyProtection="1">
      <alignment/>
      <protection hidden="1"/>
    </xf>
    <xf numFmtId="0" fontId="9" fillId="33" borderId="41" xfId="0" applyFont="1" applyFill="1" applyBorder="1" applyAlignment="1" applyProtection="1">
      <alignment horizontal="right"/>
      <protection hidden="1"/>
    </xf>
    <xf numFmtId="0" fontId="9" fillId="33" borderId="42" xfId="0" applyFont="1" applyFill="1" applyBorder="1" applyAlignment="1">
      <alignment horizontal="right"/>
    </xf>
    <xf numFmtId="177" fontId="9" fillId="33" borderId="24" xfId="44" applyNumberFormat="1" applyFont="1" applyFill="1" applyBorder="1" applyAlignment="1">
      <alignment horizontal="right"/>
    </xf>
    <xf numFmtId="165" fontId="9" fillId="33" borderId="15" xfId="44" applyNumberFormat="1" applyFont="1" applyFill="1" applyBorder="1" applyAlignment="1">
      <alignment horizontal="right" shrinkToFit="1"/>
    </xf>
    <xf numFmtId="165" fontId="9" fillId="33" borderId="21" xfId="44" applyNumberFormat="1" applyFont="1" applyFill="1" applyBorder="1" applyAlignment="1">
      <alignment horizontal="right" shrinkToFit="1"/>
    </xf>
    <xf numFmtId="0" fontId="5" fillId="0" borderId="0" xfId="53" applyAlignment="1" applyProtection="1">
      <alignment/>
      <protection/>
    </xf>
    <xf numFmtId="0" fontId="111" fillId="0" borderId="0" xfId="0" applyFont="1" applyAlignment="1">
      <alignment/>
    </xf>
    <xf numFmtId="49" fontId="12" fillId="0" borderId="0" xfId="0" applyNumberFormat="1" applyFont="1" applyAlignment="1">
      <alignment horizontal="left"/>
    </xf>
    <xf numFmtId="49" fontId="20" fillId="0" borderId="0" xfId="0" applyNumberFormat="1" applyFont="1" applyBorder="1" applyAlignment="1">
      <alignment horizontal="center" shrinkToFit="1"/>
    </xf>
    <xf numFmtId="49" fontId="0" fillId="0" borderId="0" xfId="0" applyNumberFormat="1" applyAlignment="1">
      <alignment horizontal="center" shrinkToFit="1"/>
    </xf>
    <xf numFmtId="7" fontId="12" fillId="0" borderId="0" xfId="0" applyNumberFormat="1" applyFont="1" applyAlignment="1">
      <alignment horizontal="left"/>
    </xf>
    <xf numFmtId="49" fontId="13" fillId="0" borderId="0" xfId="0" applyNumberFormat="1" applyFont="1" applyAlignment="1">
      <alignment/>
    </xf>
    <xf numFmtId="49" fontId="19" fillId="0" borderId="0" xfId="0" applyNumberFormat="1" applyFont="1" applyAlignment="1">
      <alignment/>
    </xf>
    <xf numFmtId="7" fontId="12" fillId="0" borderId="26" xfId="0" applyNumberFormat="1" applyFont="1" applyBorder="1" applyAlignment="1">
      <alignment horizontal="left"/>
    </xf>
    <xf numFmtId="49" fontId="20" fillId="0" borderId="26" xfId="0" applyNumberFormat="1" applyFont="1" applyBorder="1" applyAlignment="1">
      <alignment horizontal="center" shrinkToFit="1"/>
    </xf>
    <xf numFmtId="49" fontId="20" fillId="0" borderId="0" xfId="0" applyNumberFormat="1" applyFont="1" applyAlignment="1">
      <alignment horizontal="left"/>
    </xf>
    <xf numFmtId="49" fontId="20" fillId="0" borderId="0" xfId="0" applyNumberFormat="1" applyFont="1" applyAlignment="1">
      <alignment horizontal="center" shrinkToFit="1"/>
    </xf>
    <xf numFmtId="49" fontId="17" fillId="0" borderId="0" xfId="0" applyNumberFormat="1" applyFont="1" applyAlignment="1">
      <alignment horizontal="center"/>
    </xf>
    <xf numFmtId="49" fontId="12" fillId="0" borderId="0" xfId="0" applyNumberFormat="1" applyFont="1" applyAlignment="1">
      <alignment horizontal="left" wrapText="1"/>
    </xf>
    <xf numFmtId="7" fontId="12" fillId="0" borderId="0" xfId="44" applyNumberFormat="1" applyFont="1" applyBorder="1" applyAlignment="1">
      <alignment horizontal="left"/>
    </xf>
    <xf numFmtId="0" fontId="27" fillId="0" borderId="0" xfId="53" applyFont="1" applyAlignment="1" applyProtection="1">
      <alignment horizontal="left"/>
      <protection/>
    </xf>
    <xf numFmtId="49" fontId="17" fillId="33" borderId="26" xfId="0" applyNumberFormat="1" applyFont="1" applyFill="1" applyBorder="1" applyAlignment="1" applyProtection="1">
      <alignment horizontal="center" vertical="top"/>
      <protection/>
    </xf>
    <xf numFmtId="49" fontId="17" fillId="33" borderId="0" xfId="0" applyNumberFormat="1" applyFont="1" applyFill="1" applyBorder="1" applyAlignment="1" applyProtection="1">
      <alignment horizontal="center" vertical="top"/>
      <protection/>
    </xf>
    <xf numFmtId="0" fontId="20" fillId="33" borderId="33" xfId="0" applyFont="1" applyFill="1" applyBorder="1" applyAlignment="1" applyProtection="1">
      <alignment horizontal="left" vertical="top"/>
      <protection/>
    </xf>
    <xf numFmtId="0" fontId="20" fillId="33" borderId="17" xfId="0" applyFont="1" applyFill="1" applyBorder="1" applyAlignment="1" applyProtection="1">
      <alignment horizontal="left" vertical="top"/>
      <protection/>
    </xf>
    <xf numFmtId="0" fontId="91" fillId="0" borderId="0" xfId="0" applyFont="1" applyFill="1" applyBorder="1" applyAlignment="1" applyProtection="1">
      <alignment horizontal="center" vertical="top"/>
      <protection/>
    </xf>
    <xf numFmtId="0" fontId="12" fillId="33" borderId="0" xfId="0" applyFont="1" applyFill="1" applyAlignment="1" applyProtection="1">
      <alignment horizontal="left" vertical="top"/>
      <protection/>
    </xf>
    <xf numFmtId="0" fontId="96" fillId="33" borderId="0" xfId="0" applyFont="1" applyFill="1" applyBorder="1" applyAlignment="1" applyProtection="1">
      <alignment horizontal="center" wrapText="1"/>
      <protection/>
    </xf>
    <xf numFmtId="0" fontId="20" fillId="33" borderId="0" xfId="0" applyFont="1" applyFill="1" applyBorder="1" applyAlignment="1" applyProtection="1">
      <alignment horizontal="center"/>
      <protection/>
    </xf>
    <xf numFmtId="0" fontId="13" fillId="33" borderId="0" xfId="0" applyFont="1" applyFill="1" applyAlignment="1" applyProtection="1">
      <alignment horizontal="left" vertical="top"/>
      <protection/>
    </xf>
    <xf numFmtId="0" fontId="98" fillId="0" borderId="0" xfId="0" applyFont="1" applyFill="1" applyBorder="1" applyAlignment="1" applyProtection="1">
      <alignment horizontal="center"/>
      <protection/>
    </xf>
    <xf numFmtId="0" fontId="95" fillId="0" borderId="0" xfId="0" applyFont="1" applyFill="1" applyBorder="1" applyAlignment="1" applyProtection="1">
      <alignment horizontal="left" vertical="top" wrapText="1"/>
      <protection/>
    </xf>
    <xf numFmtId="0" fontId="91" fillId="0" borderId="0" xfId="0" applyFont="1" applyFill="1" applyBorder="1" applyAlignment="1" applyProtection="1">
      <alignment horizontal="center" wrapText="1"/>
      <protection/>
    </xf>
    <xf numFmtId="0" fontId="96" fillId="0" borderId="0" xfId="0" applyFont="1" applyFill="1" applyBorder="1" applyAlignment="1" applyProtection="1">
      <alignment horizontal="center" vertical="top" wrapText="1"/>
      <protection/>
    </xf>
    <xf numFmtId="7" fontId="12" fillId="34" borderId="28" xfId="44" applyNumberFormat="1" applyFont="1" applyFill="1" applyBorder="1" applyAlignment="1" applyProtection="1">
      <alignment horizontal="center" vertical="center" shrinkToFit="1"/>
      <protection/>
    </xf>
    <xf numFmtId="7" fontId="12" fillId="34" borderId="43" xfId="44" applyNumberFormat="1" applyFont="1" applyFill="1" applyBorder="1" applyAlignment="1" applyProtection="1">
      <alignment horizontal="center" vertical="center" shrinkToFit="1"/>
      <protection/>
    </xf>
    <xf numFmtId="0" fontId="98" fillId="0" borderId="0" xfId="0" applyFont="1" applyFill="1" applyBorder="1" applyAlignment="1" applyProtection="1">
      <alignment horizontal="center" vertical="top"/>
      <protection/>
    </xf>
    <xf numFmtId="0" fontId="98" fillId="0" borderId="0" xfId="0" applyFont="1" applyFill="1" applyBorder="1" applyAlignment="1" applyProtection="1">
      <alignment horizontal="center" wrapText="1"/>
      <protection/>
    </xf>
    <xf numFmtId="165" fontId="12" fillId="34" borderId="28" xfId="44" applyNumberFormat="1" applyFont="1" applyFill="1" applyBorder="1" applyAlignment="1" applyProtection="1">
      <alignment horizontal="center" vertical="center" shrinkToFit="1"/>
      <protection/>
    </xf>
    <xf numFmtId="165" fontId="12" fillId="34" borderId="43" xfId="44" applyNumberFormat="1" applyFont="1" applyFill="1" applyBorder="1" applyAlignment="1" applyProtection="1">
      <alignment horizontal="center" vertical="center" shrinkToFit="1"/>
      <protection/>
    </xf>
    <xf numFmtId="0" fontId="20" fillId="33" borderId="28" xfId="0" applyNumberFormat="1" applyFont="1" applyFill="1" applyBorder="1" applyAlignment="1" applyProtection="1">
      <alignment horizontal="left" vertical="top" wrapText="1"/>
      <protection/>
    </xf>
    <xf numFmtId="0" fontId="20" fillId="33" borderId="43" xfId="0" applyNumberFormat="1" applyFont="1" applyFill="1" applyBorder="1" applyAlignment="1" applyProtection="1">
      <alignment horizontal="left" vertical="top" wrapText="1"/>
      <protection/>
    </xf>
    <xf numFmtId="0" fontId="111" fillId="0" borderId="0" xfId="0" applyFont="1" applyAlignment="1">
      <alignment horizontal="left"/>
    </xf>
    <xf numFmtId="0" fontId="0" fillId="0" borderId="0" xfId="0" applyAlignment="1">
      <alignment horizontal="left"/>
    </xf>
    <xf numFmtId="49" fontId="12" fillId="35" borderId="20" xfId="44" applyNumberFormat="1" applyFont="1" applyFill="1" applyBorder="1" applyAlignment="1" applyProtection="1">
      <alignment horizontal="center" vertical="center" shrinkToFit="1"/>
      <protection locked="0"/>
    </xf>
    <xf numFmtId="0" fontId="90" fillId="0" borderId="0" xfId="0" applyFont="1" applyFill="1" applyBorder="1" applyAlignment="1" applyProtection="1">
      <alignment/>
      <protection/>
    </xf>
    <xf numFmtId="0" fontId="12" fillId="35" borderId="27" xfId="0" applyFont="1" applyFill="1" applyBorder="1" applyAlignment="1" applyProtection="1">
      <alignment horizontal="center" vertical="center" wrapText="1"/>
      <protection locked="0"/>
    </xf>
    <xf numFmtId="0" fontId="12" fillId="35" borderId="35" xfId="0" applyFont="1" applyFill="1" applyBorder="1" applyAlignment="1" applyProtection="1">
      <alignment horizontal="center" vertical="center" wrapText="1"/>
      <protection locked="0"/>
    </xf>
    <xf numFmtId="0" fontId="20" fillId="33" borderId="27" xfId="0" applyFont="1" applyFill="1" applyBorder="1" applyAlignment="1" applyProtection="1">
      <alignment horizontal="center" vertical="center" wrapText="1"/>
      <protection/>
    </xf>
    <xf numFmtId="0" fontId="20" fillId="33" borderId="35" xfId="0" applyFont="1" applyFill="1" applyBorder="1" applyAlignment="1" applyProtection="1">
      <alignment horizontal="center" vertical="center" wrapText="1"/>
      <protection/>
    </xf>
    <xf numFmtId="49" fontId="17" fillId="33" borderId="0" xfId="0" applyNumberFormat="1" applyFont="1" applyFill="1" applyAlignment="1" applyProtection="1">
      <alignment horizontal="center" vertical="top"/>
      <protection/>
    </xf>
    <xf numFmtId="7" fontId="12" fillId="33" borderId="20" xfId="44" applyNumberFormat="1" applyFont="1" applyFill="1" applyBorder="1" applyAlignment="1" applyProtection="1">
      <alignment horizontal="center" vertical="center" shrinkToFit="1"/>
      <protection/>
    </xf>
    <xf numFmtId="49" fontId="12" fillId="33" borderId="0" xfId="0" applyNumberFormat="1" applyFont="1" applyFill="1" applyBorder="1" applyAlignment="1" applyProtection="1">
      <alignment horizontal="center" vertical="top" wrapText="1"/>
      <protection/>
    </xf>
    <xf numFmtId="49" fontId="17" fillId="33" borderId="0" xfId="0" applyNumberFormat="1" applyFont="1" applyFill="1" applyBorder="1" applyAlignment="1" applyProtection="1">
      <alignment horizontal="center" vertical="center" wrapText="1"/>
      <protection/>
    </xf>
    <xf numFmtId="0" fontId="12" fillId="0" borderId="28" xfId="0" applyNumberFormat="1" applyFont="1" applyFill="1" applyBorder="1" applyAlignment="1" applyProtection="1">
      <alignment horizontal="left" vertical="top" wrapText="1" shrinkToFit="1"/>
      <protection/>
    </xf>
    <xf numFmtId="0" fontId="12" fillId="0" borderId="43" xfId="0" applyNumberFormat="1" applyFont="1" applyFill="1" applyBorder="1" applyAlignment="1" applyProtection="1">
      <alignment horizontal="left" vertical="top" wrapText="1" shrinkToFit="1"/>
      <protection/>
    </xf>
    <xf numFmtId="49" fontId="17" fillId="33" borderId="0" xfId="0" applyNumberFormat="1" applyFont="1" applyFill="1" applyBorder="1" applyAlignment="1" applyProtection="1">
      <alignment horizontal="center" wrapText="1"/>
      <protection/>
    </xf>
    <xf numFmtId="196" fontId="12" fillId="33" borderId="33" xfId="44" applyNumberFormat="1" applyFont="1" applyFill="1" applyBorder="1" applyAlignment="1" applyProtection="1">
      <alignment horizontal="left" shrinkToFit="1"/>
      <protection/>
    </xf>
    <xf numFmtId="196" fontId="12" fillId="33" borderId="17" xfId="44" applyNumberFormat="1" applyFont="1" applyFill="1" applyBorder="1" applyAlignment="1" applyProtection="1">
      <alignment horizontal="left" shrinkToFit="1"/>
      <protection/>
    </xf>
    <xf numFmtId="196" fontId="12" fillId="0" borderId="33" xfId="0" applyNumberFormat="1" applyFont="1" applyFill="1" applyBorder="1" applyAlignment="1" applyProtection="1">
      <alignment horizontal="left" shrinkToFit="1"/>
      <protection/>
    </xf>
    <xf numFmtId="196" fontId="12" fillId="0" borderId="17" xfId="0" applyNumberFormat="1" applyFont="1" applyFill="1" applyBorder="1" applyAlignment="1" applyProtection="1">
      <alignment horizontal="left" shrinkToFit="1"/>
      <protection/>
    </xf>
    <xf numFmtId="49" fontId="20" fillId="33" borderId="28" xfId="0" applyNumberFormat="1" applyFont="1" applyFill="1" applyBorder="1" applyAlignment="1" applyProtection="1">
      <alignment horizontal="left" vertical="top" wrapText="1"/>
      <protection/>
    </xf>
    <xf numFmtId="49" fontId="20" fillId="33" borderId="43" xfId="0" applyNumberFormat="1" applyFont="1" applyFill="1" applyBorder="1" applyAlignment="1" applyProtection="1">
      <alignment horizontal="left" vertical="top" wrapText="1"/>
      <protection/>
    </xf>
    <xf numFmtId="0" fontId="20" fillId="33" borderId="27" xfId="0" applyNumberFormat="1" applyFont="1" applyFill="1" applyBorder="1" applyAlignment="1" applyProtection="1">
      <alignment horizontal="left" vertical="top" wrapText="1"/>
      <protection/>
    </xf>
    <xf numFmtId="0" fontId="20" fillId="33" borderId="35" xfId="0" applyNumberFormat="1" applyFont="1" applyFill="1" applyBorder="1" applyAlignment="1" applyProtection="1">
      <alignment horizontal="left" vertical="top" wrapText="1"/>
      <protection/>
    </xf>
    <xf numFmtId="0" fontId="20" fillId="33" borderId="30" xfId="0" applyNumberFormat="1" applyFont="1" applyFill="1" applyBorder="1" applyAlignment="1" applyProtection="1">
      <alignment horizontal="left" vertical="top" wrapText="1"/>
      <protection/>
    </xf>
    <xf numFmtId="0" fontId="20" fillId="33" borderId="29" xfId="0" applyNumberFormat="1" applyFont="1" applyFill="1" applyBorder="1" applyAlignment="1" applyProtection="1">
      <alignment horizontal="left" vertical="top" wrapText="1"/>
      <protection/>
    </xf>
    <xf numFmtId="0" fontId="89" fillId="0" borderId="0" xfId="0" applyFont="1" applyFill="1" applyBorder="1" applyAlignment="1" applyProtection="1">
      <alignment horizontal="left" vertical="top" wrapText="1"/>
      <protection/>
    </xf>
    <xf numFmtId="49" fontId="17" fillId="0" borderId="0" xfId="53" applyNumberFormat="1" applyFont="1" applyBorder="1" applyAlignment="1" applyProtection="1">
      <alignment horizontal="center" vertical="center" shrinkToFit="1"/>
      <protection/>
    </xf>
    <xf numFmtId="0" fontId="20" fillId="33" borderId="36" xfId="0" applyFont="1" applyFill="1" applyBorder="1" applyAlignment="1" applyProtection="1">
      <alignment horizontal="left" vertical="top"/>
      <protection/>
    </xf>
    <xf numFmtId="49" fontId="20" fillId="33" borderId="27" xfId="0" applyNumberFormat="1" applyFont="1" applyFill="1" applyBorder="1" applyAlignment="1" applyProtection="1">
      <alignment horizontal="left" vertical="top" wrapText="1"/>
      <protection/>
    </xf>
    <xf numFmtId="49" fontId="20" fillId="33" borderId="35" xfId="0" applyNumberFormat="1" applyFont="1" applyFill="1" applyBorder="1" applyAlignment="1" applyProtection="1">
      <alignment horizontal="left" vertical="top" wrapText="1"/>
      <protection/>
    </xf>
    <xf numFmtId="49" fontId="20" fillId="33" borderId="30" xfId="0" applyNumberFormat="1" applyFont="1" applyFill="1" applyBorder="1" applyAlignment="1" applyProtection="1">
      <alignment horizontal="left" vertical="top" wrapText="1"/>
      <protection/>
    </xf>
    <xf numFmtId="49" fontId="20" fillId="33" borderId="29" xfId="0" applyNumberFormat="1" applyFont="1" applyFill="1" applyBorder="1" applyAlignment="1" applyProtection="1">
      <alignment horizontal="left" vertical="top" wrapText="1"/>
      <protection/>
    </xf>
    <xf numFmtId="0" fontId="12" fillId="0" borderId="28" xfId="0" applyNumberFormat="1" applyFont="1" applyBorder="1" applyAlignment="1" applyProtection="1">
      <alignment horizontal="left" vertical="top" wrapText="1"/>
      <protection/>
    </xf>
    <xf numFmtId="0" fontId="12" fillId="0" borderId="43" xfId="0" applyNumberFormat="1" applyFont="1" applyBorder="1" applyAlignment="1" applyProtection="1">
      <alignment horizontal="left" vertical="top" wrapText="1"/>
      <protection/>
    </xf>
    <xf numFmtId="0" fontId="20" fillId="0" borderId="28" xfId="0" applyFont="1" applyFill="1" applyBorder="1" applyAlignment="1" applyProtection="1">
      <alignment horizontal="left" vertical="top"/>
      <protection/>
    </xf>
    <xf numFmtId="0" fontId="20" fillId="0" borderId="43" xfId="0" applyFont="1" applyFill="1" applyBorder="1" applyAlignment="1" applyProtection="1">
      <alignment horizontal="left" vertical="top"/>
      <protection/>
    </xf>
    <xf numFmtId="0" fontId="5" fillId="0" borderId="0" xfId="53" applyAlignment="1" applyProtection="1">
      <alignment horizontal="left"/>
      <protection/>
    </xf>
    <xf numFmtId="196" fontId="12" fillId="34" borderId="33" xfId="44" applyNumberFormat="1" applyFont="1" applyFill="1" applyBorder="1" applyAlignment="1" applyProtection="1">
      <alignment horizontal="left" shrinkToFit="1"/>
      <protection/>
    </xf>
    <xf numFmtId="196" fontId="12" fillId="34" borderId="36" xfId="44" applyNumberFormat="1" applyFont="1" applyFill="1" applyBorder="1" applyAlignment="1" applyProtection="1">
      <alignment horizontal="left" shrinkToFit="1"/>
      <protection/>
    </xf>
    <xf numFmtId="1" fontId="12" fillId="35" borderId="28" xfId="42" applyNumberFormat="1" applyFont="1" applyFill="1" applyBorder="1" applyAlignment="1" applyProtection="1">
      <alignment horizontal="center" vertical="center" shrinkToFit="1"/>
      <protection locked="0"/>
    </xf>
    <xf numFmtId="1" fontId="12" fillId="35" borderId="43" xfId="42" applyNumberFormat="1" applyFont="1" applyFill="1" applyBorder="1" applyAlignment="1" applyProtection="1">
      <alignment horizontal="center" vertical="center" shrinkToFit="1"/>
      <protection locked="0"/>
    </xf>
    <xf numFmtId="1" fontId="12" fillId="34" borderId="20" xfId="44" applyNumberFormat="1" applyFont="1" applyFill="1" applyBorder="1" applyAlignment="1" applyProtection="1">
      <alignment horizontal="center" vertical="center" shrinkToFit="1"/>
      <protection/>
    </xf>
    <xf numFmtId="1" fontId="12" fillId="35" borderId="27" xfId="42" applyNumberFormat="1" applyFont="1" applyFill="1" applyBorder="1" applyAlignment="1" applyProtection="1">
      <alignment horizontal="center" vertical="center" shrinkToFit="1"/>
      <protection locked="0"/>
    </xf>
    <xf numFmtId="1" fontId="12" fillId="35" borderId="35" xfId="42" applyNumberFormat="1" applyFont="1" applyFill="1" applyBorder="1" applyAlignment="1" applyProtection="1">
      <alignment horizontal="center" vertical="center" shrinkToFit="1"/>
      <protection locked="0"/>
    </xf>
    <xf numFmtId="1" fontId="12" fillId="35" borderId="32" xfId="42" applyNumberFormat="1" applyFont="1" applyFill="1" applyBorder="1" applyAlignment="1" applyProtection="1">
      <alignment horizontal="center" vertical="center" shrinkToFit="1"/>
      <protection locked="0"/>
    </xf>
    <xf numFmtId="1" fontId="12" fillId="35" borderId="31" xfId="42" applyNumberFormat="1" applyFont="1" applyFill="1" applyBorder="1" applyAlignment="1" applyProtection="1">
      <alignment horizontal="center" vertical="center" shrinkToFit="1"/>
      <protection locked="0"/>
    </xf>
    <xf numFmtId="49" fontId="12" fillId="0" borderId="28" xfId="0" applyNumberFormat="1" applyFont="1" applyFill="1" applyBorder="1" applyAlignment="1" applyProtection="1">
      <alignment horizontal="left" vertical="top" wrapText="1" shrinkToFit="1"/>
      <protection/>
    </xf>
    <xf numFmtId="49" fontId="12" fillId="0" borderId="43" xfId="0" applyNumberFormat="1" applyFont="1" applyFill="1" applyBorder="1" applyAlignment="1" applyProtection="1">
      <alignment horizontal="left" vertical="top" wrapText="1" shrinkToFit="1"/>
      <protection/>
    </xf>
    <xf numFmtId="49" fontId="20" fillId="0" borderId="28" xfId="0" applyNumberFormat="1" applyFont="1" applyFill="1" applyBorder="1" applyAlignment="1" applyProtection="1">
      <alignment horizontal="left" vertical="top" wrapText="1" shrinkToFit="1"/>
      <protection/>
    </xf>
    <xf numFmtId="49" fontId="20" fillId="0" borderId="43" xfId="0" applyNumberFormat="1" applyFont="1" applyFill="1" applyBorder="1" applyAlignment="1" applyProtection="1">
      <alignment horizontal="left" vertical="top" wrapText="1" shrinkToFit="1"/>
      <protection/>
    </xf>
    <xf numFmtId="0" fontId="20" fillId="33" borderId="20" xfId="0" applyFont="1" applyFill="1" applyBorder="1" applyAlignment="1" applyProtection="1">
      <alignment horizontal="left" vertical="top" wrapText="1"/>
      <protection/>
    </xf>
    <xf numFmtId="0" fontId="12" fillId="0" borderId="27" xfId="0" applyNumberFormat="1" applyFont="1" applyBorder="1" applyAlignment="1" applyProtection="1">
      <alignment horizontal="left" vertical="top" wrapText="1"/>
      <protection/>
    </xf>
    <xf numFmtId="0" fontId="12" fillId="0" borderId="28" xfId="0" applyNumberFormat="1" applyFont="1" applyFill="1" applyBorder="1" applyAlignment="1" applyProtection="1">
      <alignment horizontal="left" vertical="top" wrapText="1"/>
      <protection/>
    </xf>
    <xf numFmtId="0" fontId="12" fillId="0" borderId="43" xfId="0" applyNumberFormat="1" applyFont="1" applyFill="1" applyBorder="1" applyAlignment="1" applyProtection="1">
      <alignment horizontal="left" vertical="top" wrapText="1"/>
      <protection/>
    </xf>
    <xf numFmtId="0" fontId="20" fillId="0" borderId="28" xfId="0" applyNumberFormat="1" applyFont="1" applyFill="1" applyBorder="1" applyAlignment="1" applyProtection="1">
      <alignment horizontal="left" vertical="top" wrapText="1"/>
      <protection/>
    </xf>
    <xf numFmtId="0" fontId="2" fillId="0" borderId="43" xfId="0" applyFont="1" applyFill="1" applyBorder="1" applyAlignment="1">
      <alignment horizontal="left" vertical="top" wrapText="1"/>
    </xf>
    <xf numFmtId="0" fontId="0" fillId="0" borderId="43" xfId="0" applyFill="1" applyBorder="1" applyAlignment="1">
      <alignment horizontal="left" vertical="top" wrapText="1"/>
    </xf>
    <xf numFmtId="49" fontId="20" fillId="33" borderId="20" xfId="0" applyNumberFormat="1" applyFont="1" applyFill="1" applyBorder="1" applyAlignment="1" applyProtection="1">
      <alignment horizontal="left" vertical="top" wrapText="1"/>
      <protection/>
    </xf>
    <xf numFmtId="0" fontId="12" fillId="0" borderId="28" xfId="0" applyFont="1" applyFill="1" applyBorder="1" applyAlignment="1" applyProtection="1">
      <alignment horizontal="left" vertical="top" wrapText="1"/>
      <protection/>
    </xf>
    <xf numFmtId="0" fontId="12" fillId="0" borderId="43" xfId="0" applyFont="1" applyFill="1" applyBorder="1" applyAlignment="1">
      <alignment horizontal="left" vertical="top"/>
    </xf>
    <xf numFmtId="49" fontId="12" fillId="0" borderId="27" xfId="0" applyNumberFormat="1" applyFont="1" applyBorder="1" applyAlignment="1" applyProtection="1">
      <alignment horizontal="left" vertical="top" wrapText="1"/>
      <protection/>
    </xf>
    <xf numFmtId="49" fontId="12" fillId="0" borderId="34" xfId="0" applyNumberFormat="1" applyFont="1" applyBorder="1" applyAlignment="1" applyProtection="1">
      <alignment horizontal="left" vertical="top" wrapText="1"/>
      <protection/>
    </xf>
    <xf numFmtId="49" fontId="12" fillId="0" borderId="35" xfId="0" applyNumberFormat="1" applyFont="1" applyBorder="1" applyAlignment="1" applyProtection="1">
      <alignment horizontal="left" vertical="top" wrapText="1"/>
      <protection/>
    </xf>
    <xf numFmtId="49" fontId="12" fillId="0" borderId="30" xfId="0" applyNumberFormat="1" applyFont="1" applyBorder="1" applyAlignment="1" applyProtection="1">
      <alignment horizontal="left" vertical="top" wrapText="1"/>
      <protection/>
    </xf>
    <xf numFmtId="49" fontId="12" fillId="0" borderId="26" xfId="0" applyNumberFormat="1" applyFont="1" applyBorder="1" applyAlignment="1" applyProtection="1">
      <alignment horizontal="left" vertical="top" wrapText="1"/>
      <protection/>
    </xf>
    <xf numFmtId="49" fontId="12" fillId="0" borderId="29" xfId="0" applyNumberFormat="1" applyFont="1" applyBorder="1" applyAlignment="1" applyProtection="1">
      <alignment horizontal="left" vertical="top" wrapText="1"/>
      <protection/>
    </xf>
    <xf numFmtId="49" fontId="20" fillId="0" borderId="28" xfId="0" applyNumberFormat="1" applyFont="1" applyBorder="1" applyAlignment="1" applyProtection="1">
      <alignment horizontal="left" vertical="top" wrapText="1"/>
      <protection/>
    </xf>
    <xf numFmtId="49" fontId="20" fillId="0" borderId="43" xfId="0" applyNumberFormat="1" applyFont="1" applyBorder="1" applyAlignment="1" applyProtection="1">
      <alignment horizontal="left" vertical="top" wrapText="1"/>
      <protection/>
    </xf>
    <xf numFmtId="49" fontId="12" fillId="33" borderId="28" xfId="0" applyNumberFormat="1" applyFont="1" applyFill="1" applyBorder="1" applyAlignment="1" applyProtection="1">
      <alignment horizontal="left" vertical="top" wrapText="1" indent="1"/>
      <protection/>
    </xf>
    <xf numFmtId="49" fontId="12" fillId="33" borderId="43" xfId="0" applyNumberFormat="1" applyFont="1" applyFill="1" applyBorder="1" applyAlignment="1" applyProtection="1">
      <alignment horizontal="left" vertical="top" wrapText="1" indent="1"/>
      <protection/>
    </xf>
    <xf numFmtId="49" fontId="20" fillId="33" borderId="37" xfId="0" applyNumberFormat="1" applyFont="1" applyFill="1" applyBorder="1" applyAlignment="1" applyProtection="1">
      <alignment horizontal="left" vertical="top" wrapText="1"/>
      <protection/>
    </xf>
    <xf numFmtId="0" fontId="20" fillId="0" borderId="0" xfId="0" applyFont="1" applyFill="1" applyBorder="1" applyAlignment="1" applyProtection="1">
      <alignment horizontal="left" vertical="top" wrapText="1"/>
      <protection/>
    </xf>
    <xf numFmtId="0" fontId="12" fillId="33" borderId="0" xfId="0" applyFont="1" applyFill="1" applyAlignment="1" applyProtection="1">
      <alignment vertical="top"/>
      <protection/>
    </xf>
    <xf numFmtId="0" fontId="0" fillId="0" borderId="0" xfId="0" applyFont="1" applyAlignment="1">
      <alignment/>
    </xf>
    <xf numFmtId="0" fontId="0" fillId="0" borderId="0" xfId="0" applyAlignment="1">
      <alignment/>
    </xf>
    <xf numFmtId="0" fontId="8" fillId="33" borderId="0" xfId="0" applyFont="1" applyFill="1" applyBorder="1" applyAlignment="1" applyProtection="1">
      <alignment horizontal="center"/>
      <protection/>
    </xf>
    <xf numFmtId="0" fontId="89" fillId="0" borderId="0" xfId="0" applyFont="1" applyFill="1" applyBorder="1" applyAlignment="1" applyProtection="1">
      <alignment horizontal="center"/>
      <protection/>
    </xf>
    <xf numFmtId="49" fontId="12" fillId="35" borderId="30" xfId="0" applyNumberFormat="1" applyFont="1" applyFill="1" applyBorder="1" applyAlignment="1" applyProtection="1">
      <alignment horizontal="left" vertical="center" wrapText="1"/>
      <protection locked="0"/>
    </xf>
    <xf numFmtId="49" fontId="12" fillId="35" borderId="26" xfId="0" applyNumberFormat="1" applyFont="1" applyFill="1" applyBorder="1" applyAlignment="1" applyProtection="1">
      <alignment horizontal="left" vertical="center" wrapText="1"/>
      <protection locked="0"/>
    </xf>
    <xf numFmtId="49" fontId="12" fillId="35" borderId="29" xfId="0" applyNumberFormat="1" applyFont="1" applyFill="1" applyBorder="1" applyAlignment="1" applyProtection="1">
      <alignment horizontal="left" vertical="center" wrapText="1"/>
      <protection locked="0"/>
    </xf>
    <xf numFmtId="0" fontId="110" fillId="0" borderId="0" xfId="0" applyFont="1" applyFill="1" applyBorder="1" applyAlignment="1" applyProtection="1">
      <alignment/>
      <protection/>
    </xf>
    <xf numFmtId="0" fontId="20" fillId="33" borderId="33" xfId="0" applyFont="1" applyFill="1" applyBorder="1" applyAlignment="1" applyProtection="1">
      <alignment horizontal="center" vertical="top"/>
      <protection/>
    </xf>
    <xf numFmtId="0" fontId="20" fillId="33" borderId="36" xfId="0" applyFont="1" applyFill="1" applyBorder="1" applyAlignment="1" applyProtection="1">
      <alignment horizontal="center" vertical="top"/>
      <protection/>
    </xf>
    <xf numFmtId="0" fontId="20" fillId="33" borderId="17" xfId="0" applyFont="1" applyFill="1" applyBorder="1" applyAlignment="1" applyProtection="1">
      <alignment horizontal="center" vertical="top"/>
      <protection/>
    </xf>
    <xf numFmtId="1" fontId="0" fillId="30" borderId="33" xfId="0" applyNumberFormat="1" applyFont="1" applyFill="1" applyBorder="1" applyAlignment="1" applyProtection="1">
      <alignment horizontal="center" vertical="center" shrinkToFit="1"/>
      <protection/>
    </xf>
    <xf numFmtId="0" fontId="0" fillId="30" borderId="17" xfId="0" applyFont="1" applyFill="1" applyBorder="1" applyAlignment="1" applyProtection="1">
      <alignment horizontal="center" vertical="center" shrinkToFit="1"/>
      <protection/>
    </xf>
    <xf numFmtId="49" fontId="12" fillId="33" borderId="0" xfId="0" applyNumberFormat="1" applyFont="1" applyFill="1" applyBorder="1" applyAlignment="1" applyProtection="1">
      <alignment horizontal="center" wrapText="1"/>
      <protection/>
    </xf>
    <xf numFmtId="49" fontId="20" fillId="33" borderId="34" xfId="0" applyNumberFormat="1" applyFont="1" applyFill="1" applyBorder="1" applyAlignment="1" applyProtection="1">
      <alignment horizontal="left" vertical="top" wrapText="1"/>
      <protection/>
    </xf>
    <xf numFmtId="49" fontId="12" fillId="0" borderId="32" xfId="0" applyNumberFormat="1" applyFont="1" applyFill="1" applyBorder="1" applyAlignment="1" applyProtection="1">
      <alignment horizontal="left" vertical="center" wrapText="1"/>
      <protection/>
    </xf>
    <xf numFmtId="49" fontId="12" fillId="0" borderId="0" xfId="0" applyNumberFormat="1" applyFont="1" applyFill="1" applyBorder="1" applyAlignment="1" applyProtection="1">
      <alignment horizontal="left" vertical="center" wrapText="1"/>
      <protection/>
    </xf>
    <xf numFmtId="49" fontId="12" fillId="0" borderId="31" xfId="0" applyNumberFormat="1" applyFont="1" applyFill="1" applyBorder="1" applyAlignment="1" applyProtection="1">
      <alignment horizontal="left" vertical="center" wrapText="1"/>
      <protection/>
    </xf>
    <xf numFmtId="0" fontId="8" fillId="33" borderId="0" xfId="0" applyFont="1" applyFill="1" applyAlignment="1" applyProtection="1">
      <alignment vertical="top"/>
      <protection/>
    </xf>
    <xf numFmtId="0" fontId="20" fillId="33" borderId="32" xfId="0" applyNumberFormat="1" applyFont="1" applyFill="1" applyBorder="1" applyAlignment="1" applyProtection="1">
      <alignment horizontal="left" vertical="top" wrapText="1"/>
      <protection/>
    </xf>
    <xf numFmtId="0" fontId="96" fillId="0" borderId="0" xfId="0" applyFont="1" applyFill="1" applyBorder="1" applyAlignment="1" applyProtection="1">
      <alignment horizontal="left" vertical="top"/>
      <protection/>
    </xf>
    <xf numFmtId="49" fontId="15" fillId="0" borderId="0" xfId="0" applyNumberFormat="1" applyFont="1" applyBorder="1" applyAlignment="1" applyProtection="1">
      <alignment/>
      <protection/>
    </xf>
    <xf numFmtId="0" fontId="20" fillId="33" borderId="33" xfId="0" applyNumberFormat="1" applyFont="1" applyFill="1" applyBorder="1" applyAlignment="1" applyProtection="1">
      <alignment horizontal="left" vertical="top" wrapText="1"/>
      <protection/>
    </xf>
    <xf numFmtId="0" fontId="20" fillId="33" borderId="17" xfId="0" applyNumberFormat="1" applyFont="1" applyFill="1" applyBorder="1" applyAlignment="1" applyProtection="1">
      <alignment horizontal="left" vertical="top" wrapText="1"/>
      <protection/>
    </xf>
    <xf numFmtId="7" fontId="0" fillId="0" borderId="28" xfId="44" applyNumberFormat="1" applyFont="1" applyFill="1" applyBorder="1" applyAlignment="1" applyProtection="1">
      <alignment horizontal="center" vertical="center" shrinkToFit="1"/>
      <protection/>
    </xf>
    <xf numFmtId="7" fontId="0" fillId="0" borderId="37" xfId="44" applyNumberFormat="1" applyFont="1" applyFill="1" applyBorder="1" applyAlignment="1" applyProtection="1">
      <alignment horizontal="center" vertical="center" shrinkToFit="1"/>
      <protection/>
    </xf>
    <xf numFmtId="49" fontId="20" fillId="33" borderId="26" xfId="0" applyNumberFormat="1" applyFont="1" applyFill="1" applyBorder="1" applyAlignment="1" applyProtection="1">
      <alignment horizontal="left" vertical="top" wrapText="1"/>
      <protection/>
    </xf>
    <xf numFmtId="0" fontId="12" fillId="33" borderId="0" xfId="0" applyFont="1" applyFill="1" applyAlignment="1" applyProtection="1">
      <alignment horizontal="center" vertical="center" wrapText="1"/>
      <protection/>
    </xf>
    <xf numFmtId="0" fontId="18" fillId="33" borderId="0" xfId="0" applyFont="1" applyFill="1" applyAlignment="1" applyProtection="1">
      <alignment vertical="top"/>
      <protection/>
    </xf>
    <xf numFmtId="1" fontId="0" fillId="30" borderId="27" xfId="42" applyNumberFormat="1" applyFont="1" applyFill="1" applyBorder="1" applyAlignment="1" applyProtection="1">
      <alignment horizontal="center" vertical="center" shrinkToFit="1"/>
      <protection/>
    </xf>
    <xf numFmtId="1" fontId="0" fillId="30" borderId="35" xfId="42" applyNumberFormat="1" applyFont="1" applyFill="1" applyBorder="1" applyAlignment="1" applyProtection="1">
      <alignment horizontal="center" vertical="center" shrinkToFit="1"/>
      <protection/>
    </xf>
    <xf numFmtId="1" fontId="0" fillId="30" borderId="30" xfId="42" applyNumberFormat="1" applyFont="1" applyFill="1" applyBorder="1" applyAlignment="1" applyProtection="1">
      <alignment horizontal="center" vertical="center" shrinkToFit="1"/>
      <protection/>
    </xf>
    <xf numFmtId="1" fontId="0" fillId="30" borderId="29" xfId="42" applyNumberFormat="1" applyFont="1" applyFill="1" applyBorder="1" applyAlignment="1" applyProtection="1">
      <alignment horizontal="center" vertical="center" shrinkToFit="1"/>
      <protection/>
    </xf>
    <xf numFmtId="0" fontId="8" fillId="33" borderId="0" xfId="0" applyFont="1" applyFill="1" applyBorder="1" applyAlignment="1" applyProtection="1">
      <alignment vertical="top"/>
      <protection/>
    </xf>
    <xf numFmtId="0" fontId="12" fillId="0" borderId="27" xfId="0" applyFont="1" applyFill="1" applyBorder="1" applyAlignment="1" applyProtection="1">
      <alignment horizontal="center" shrinkToFit="1"/>
      <protection/>
    </xf>
    <xf numFmtId="0" fontId="12" fillId="0" borderId="32" xfId="0" applyFont="1" applyFill="1" applyBorder="1" applyAlignment="1" applyProtection="1">
      <alignment horizontal="center" shrinkToFit="1"/>
      <protection/>
    </xf>
    <xf numFmtId="0" fontId="17" fillId="33" borderId="0" xfId="0" applyFont="1" applyFill="1" applyBorder="1" applyAlignment="1" applyProtection="1">
      <alignment horizontal="center" vertical="center" wrapText="1"/>
      <protection/>
    </xf>
    <xf numFmtId="49" fontId="19" fillId="0" borderId="0" xfId="0" applyNumberFormat="1" applyFont="1" applyBorder="1" applyAlignment="1" applyProtection="1">
      <alignment/>
      <protection/>
    </xf>
    <xf numFmtId="196" fontId="0" fillId="0" borderId="33" xfId="59" applyNumberFormat="1" applyFont="1" applyFill="1" applyBorder="1" applyAlignment="1" applyProtection="1">
      <alignment horizontal="left" shrinkToFit="1"/>
      <protection/>
    </xf>
    <xf numFmtId="196" fontId="0" fillId="0" borderId="17" xfId="59" applyNumberFormat="1" applyFont="1" applyFill="1" applyBorder="1" applyAlignment="1" applyProtection="1">
      <alignment horizontal="left" shrinkToFit="1"/>
      <protection/>
    </xf>
    <xf numFmtId="0" fontId="20" fillId="33" borderId="0" xfId="0" applyFont="1" applyFill="1" applyBorder="1" applyAlignment="1" applyProtection="1">
      <alignment vertical="top"/>
      <protection/>
    </xf>
    <xf numFmtId="49" fontId="20" fillId="33" borderId="33" xfId="0" applyNumberFormat="1" applyFont="1" applyFill="1" applyBorder="1" applyAlignment="1" applyProtection="1">
      <alignment horizontal="left" vertical="top" wrapText="1" shrinkToFit="1"/>
      <protection/>
    </xf>
    <xf numFmtId="49" fontId="20" fillId="33" borderId="17" xfId="0" applyNumberFormat="1" applyFont="1" applyFill="1" applyBorder="1" applyAlignment="1" applyProtection="1">
      <alignment horizontal="left" vertical="top" wrapText="1" shrinkToFit="1"/>
      <protection/>
    </xf>
    <xf numFmtId="0" fontId="20" fillId="33" borderId="35" xfId="0" applyFont="1" applyFill="1" applyBorder="1" applyAlignment="1" applyProtection="1">
      <alignment horizontal="center" vertical="center"/>
      <protection/>
    </xf>
    <xf numFmtId="49" fontId="12" fillId="35" borderId="32" xfId="0" applyNumberFormat="1" applyFont="1" applyFill="1" applyBorder="1" applyAlignment="1" applyProtection="1">
      <alignment horizontal="left" vertical="center" wrapText="1"/>
      <protection locked="0"/>
    </xf>
    <xf numFmtId="49" fontId="12" fillId="35" borderId="0" xfId="0" applyNumberFormat="1" applyFont="1" applyFill="1" applyBorder="1" applyAlignment="1" applyProtection="1">
      <alignment horizontal="left" vertical="center" wrapText="1"/>
      <protection locked="0"/>
    </xf>
    <xf numFmtId="49" fontId="12" fillId="35" borderId="31" xfId="0" applyNumberFormat="1" applyFont="1" applyFill="1" applyBorder="1" applyAlignment="1" applyProtection="1">
      <alignment horizontal="left" vertical="center" wrapText="1"/>
      <protection locked="0"/>
    </xf>
    <xf numFmtId="196" fontId="0" fillId="33" borderId="36" xfId="0" applyNumberFormat="1" applyFont="1" applyFill="1" applyBorder="1" applyAlignment="1" applyProtection="1">
      <alignment horizontal="left" wrapText="1"/>
      <protection/>
    </xf>
    <xf numFmtId="196" fontId="0" fillId="33" borderId="17" xfId="0" applyNumberFormat="1" applyFont="1" applyFill="1" applyBorder="1" applyAlignment="1" applyProtection="1">
      <alignment horizontal="left" wrapText="1"/>
      <protection/>
    </xf>
    <xf numFmtId="49" fontId="20" fillId="33" borderId="33" xfId="0" applyNumberFormat="1" applyFont="1" applyFill="1" applyBorder="1" applyAlignment="1" applyProtection="1">
      <alignment horizontal="left" vertical="top" wrapText="1"/>
      <protection/>
    </xf>
    <xf numFmtId="49" fontId="20" fillId="33" borderId="17" xfId="0" applyNumberFormat="1" applyFont="1" applyFill="1" applyBorder="1" applyAlignment="1" applyProtection="1">
      <alignment horizontal="left" vertical="top" wrapText="1"/>
      <protection/>
    </xf>
    <xf numFmtId="0" fontId="95" fillId="0" borderId="0" xfId="0" applyFont="1" applyFill="1" applyBorder="1" applyAlignment="1" applyProtection="1">
      <alignment horizontal="left" vertical="top"/>
      <protection/>
    </xf>
    <xf numFmtId="0" fontId="112" fillId="0" borderId="0" xfId="0" applyFont="1" applyFill="1" applyBorder="1" applyAlignment="1" applyProtection="1">
      <alignment vertical="top" wrapText="1"/>
      <protection/>
    </xf>
    <xf numFmtId="0" fontId="91" fillId="0" borderId="0" xfId="0" applyFont="1" applyFill="1" applyBorder="1" applyAlignment="1" applyProtection="1">
      <alignment wrapText="1"/>
      <protection/>
    </xf>
    <xf numFmtId="7" fontId="12" fillId="33" borderId="27" xfId="44" applyNumberFormat="1" applyFont="1" applyFill="1" applyBorder="1" applyAlignment="1" applyProtection="1">
      <alignment shrinkToFit="1"/>
      <protection/>
    </xf>
    <xf numFmtId="7" fontId="12" fillId="33" borderId="0" xfId="44" applyNumberFormat="1" applyFont="1" applyFill="1" applyBorder="1" applyAlignment="1" applyProtection="1">
      <alignment shrinkToFit="1"/>
      <protection/>
    </xf>
    <xf numFmtId="1" fontId="0" fillId="30" borderId="28" xfId="42" applyNumberFormat="1" applyFont="1" applyFill="1" applyBorder="1" applyAlignment="1" applyProtection="1">
      <alignment horizontal="center" vertical="center" shrinkToFit="1"/>
      <protection/>
    </xf>
    <xf numFmtId="1" fontId="0" fillId="30" borderId="43" xfId="42" applyNumberFormat="1" applyFont="1" applyFill="1" applyBorder="1" applyAlignment="1" applyProtection="1">
      <alignment horizontal="center" vertical="center" shrinkToFit="1"/>
      <protection/>
    </xf>
    <xf numFmtId="0" fontId="10" fillId="33" borderId="0" xfId="0" applyFont="1" applyFill="1" applyAlignment="1" applyProtection="1">
      <alignment vertical="top" wrapText="1"/>
      <protection/>
    </xf>
    <xf numFmtId="0" fontId="10" fillId="33" borderId="31" xfId="0" applyFont="1" applyFill="1" applyBorder="1" applyAlignment="1" applyProtection="1">
      <alignment vertical="top" wrapText="1"/>
      <protection/>
    </xf>
    <xf numFmtId="0" fontId="10" fillId="33" borderId="26" xfId="0" applyFont="1" applyFill="1" applyBorder="1" applyAlignment="1" applyProtection="1">
      <alignment vertical="top" wrapText="1"/>
      <protection/>
    </xf>
    <xf numFmtId="0" fontId="10" fillId="33" borderId="29" xfId="0" applyFont="1" applyFill="1" applyBorder="1" applyAlignment="1" applyProtection="1">
      <alignment vertical="top" wrapText="1"/>
      <protection/>
    </xf>
    <xf numFmtId="0" fontId="0" fillId="33" borderId="27" xfId="44" applyNumberFormat="1" applyFont="1" applyFill="1" applyBorder="1" applyAlignment="1" applyProtection="1">
      <alignment horizontal="center" vertical="center" shrinkToFit="1"/>
      <protection/>
    </xf>
    <xf numFmtId="0" fontId="0" fillId="33" borderId="34" xfId="44" applyNumberFormat="1" applyFont="1" applyFill="1" applyBorder="1" applyAlignment="1" applyProtection="1">
      <alignment horizontal="center" vertical="center" shrinkToFit="1"/>
      <protection/>
    </xf>
    <xf numFmtId="0" fontId="0" fillId="33" borderId="35" xfId="44" applyNumberFormat="1" applyFont="1" applyFill="1" applyBorder="1" applyAlignment="1" applyProtection="1">
      <alignment horizontal="center" vertical="center" shrinkToFit="1"/>
      <protection/>
    </xf>
    <xf numFmtId="49" fontId="19" fillId="0" borderId="0" xfId="0" applyNumberFormat="1" applyFont="1" applyAlignment="1" applyProtection="1">
      <alignment/>
      <protection/>
    </xf>
    <xf numFmtId="49" fontId="19" fillId="0" borderId="0" xfId="0" applyNumberFormat="1" applyFont="1" applyBorder="1" applyAlignment="1" applyProtection="1">
      <alignment horizontal="center"/>
      <protection/>
    </xf>
    <xf numFmtId="0" fontId="20" fillId="33" borderId="26" xfId="0" applyFont="1" applyFill="1" applyBorder="1" applyAlignment="1" applyProtection="1">
      <alignment horizontal="center" wrapText="1"/>
      <protection/>
    </xf>
    <xf numFmtId="7" fontId="0" fillId="35" borderId="28" xfId="0" applyNumberFormat="1" applyFont="1" applyFill="1" applyBorder="1" applyAlignment="1" applyProtection="1">
      <alignment horizontal="center" vertical="center" shrinkToFit="1"/>
      <protection locked="0"/>
    </xf>
    <xf numFmtId="7" fontId="0" fillId="35" borderId="43" xfId="0" applyNumberFormat="1" applyFont="1" applyFill="1" applyBorder="1" applyAlignment="1" applyProtection="1">
      <alignment horizontal="center" vertical="center" shrinkToFit="1"/>
      <protection locked="0"/>
    </xf>
    <xf numFmtId="49" fontId="12" fillId="35" borderId="27" xfId="44" applyNumberFormat="1" applyFont="1" applyFill="1" applyBorder="1" applyAlignment="1" applyProtection="1">
      <alignment horizontal="center" vertical="center" shrinkToFit="1"/>
      <protection locked="0"/>
    </xf>
    <xf numFmtId="49" fontId="12" fillId="35" borderId="34" xfId="44" applyNumberFormat="1" applyFont="1" applyFill="1" applyBorder="1" applyAlignment="1" applyProtection="1">
      <alignment horizontal="center" vertical="center" shrinkToFit="1"/>
      <protection locked="0"/>
    </xf>
    <xf numFmtId="49" fontId="12" fillId="35" borderId="30" xfId="44" applyNumberFormat="1" applyFont="1" applyFill="1" applyBorder="1" applyAlignment="1" applyProtection="1">
      <alignment horizontal="center" vertical="center" shrinkToFit="1"/>
      <protection locked="0"/>
    </xf>
    <xf numFmtId="49" fontId="12" fillId="35" borderId="26" xfId="44" applyNumberFormat="1" applyFont="1" applyFill="1" applyBorder="1" applyAlignment="1" applyProtection="1">
      <alignment horizontal="center" vertical="center" shrinkToFit="1"/>
      <protection locked="0"/>
    </xf>
    <xf numFmtId="0" fontId="110" fillId="0" borderId="0" xfId="0" applyFont="1" applyFill="1" applyBorder="1" applyAlignment="1" applyProtection="1">
      <alignment horizontal="center"/>
      <protection/>
    </xf>
    <xf numFmtId="49" fontId="20" fillId="0" borderId="27" xfId="0" applyNumberFormat="1" applyFont="1" applyFill="1" applyBorder="1" applyAlignment="1" applyProtection="1">
      <alignment horizontal="left" vertical="top" wrapText="1"/>
      <protection/>
    </xf>
    <xf numFmtId="49" fontId="20" fillId="0" borderId="34" xfId="0" applyNumberFormat="1" applyFont="1" applyFill="1" applyBorder="1" applyAlignment="1" applyProtection="1">
      <alignment horizontal="left" vertical="top" wrapText="1"/>
      <protection/>
    </xf>
    <xf numFmtId="49" fontId="20" fillId="0" borderId="35" xfId="0" applyNumberFormat="1" applyFont="1" applyFill="1" applyBorder="1" applyAlignment="1" applyProtection="1">
      <alignment horizontal="left" vertical="top" wrapText="1"/>
      <protection/>
    </xf>
    <xf numFmtId="7" fontId="12" fillId="35" borderId="27" xfId="44" applyNumberFormat="1" applyFont="1" applyFill="1" applyBorder="1" applyAlignment="1" applyProtection="1">
      <alignment horizontal="center" vertical="center" shrinkToFit="1"/>
      <protection locked="0"/>
    </xf>
    <xf numFmtId="7" fontId="12" fillId="35" borderId="34" xfId="44" applyNumberFormat="1" applyFont="1" applyFill="1" applyBorder="1" applyAlignment="1" applyProtection="1">
      <alignment horizontal="center" vertical="center" shrinkToFit="1"/>
      <protection locked="0"/>
    </xf>
    <xf numFmtId="7" fontId="12" fillId="35" borderId="35" xfId="44" applyNumberFormat="1" applyFont="1" applyFill="1" applyBorder="1" applyAlignment="1" applyProtection="1">
      <alignment horizontal="center" vertical="center" shrinkToFit="1"/>
      <protection locked="0"/>
    </xf>
    <xf numFmtId="0" fontId="0" fillId="0" borderId="28" xfId="0" applyNumberFormat="1" applyFont="1" applyFill="1" applyBorder="1" applyAlignment="1" applyProtection="1">
      <alignment horizontal="center" vertical="center"/>
      <protection/>
    </xf>
    <xf numFmtId="0" fontId="0" fillId="0" borderId="37" xfId="0" applyNumberFormat="1" applyFont="1" applyFill="1" applyBorder="1" applyAlignment="1" applyProtection="1">
      <alignment horizontal="center" vertical="center"/>
      <protection/>
    </xf>
    <xf numFmtId="165" fontId="12" fillId="0" borderId="32" xfId="44" applyNumberFormat="1" applyFont="1" applyFill="1" applyBorder="1" applyAlignment="1" applyProtection="1">
      <alignment horizontal="center" vertical="center" shrinkToFit="1"/>
      <protection/>
    </xf>
    <xf numFmtId="165" fontId="12" fillId="0" borderId="0" xfId="44" applyNumberFormat="1" applyFont="1" applyFill="1" applyBorder="1" applyAlignment="1" applyProtection="1">
      <alignment horizontal="center" vertical="center" shrinkToFit="1"/>
      <protection/>
    </xf>
    <xf numFmtId="7" fontId="12" fillId="0" borderId="32" xfId="44" applyNumberFormat="1" applyFont="1" applyFill="1" applyBorder="1" applyAlignment="1" applyProtection="1">
      <alignment horizontal="center" vertical="center" shrinkToFit="1"/>
      <protection/>
    </xf>
    <xf numFmtId="7" fontId="12" fillId="0" borderId="0" xfId="44" applyNumberFormat="1" applyFont="1" applyFill="1" applyBorder="1" applyAlignment="1" applyProtection="1">
      <alignment horizontal="center" vertical="center" shrinkToFit="1"/>
      <protection/>
    </xf>
    <xf numFmtId="44" fontId="12" fillId="33" borderId="0" xfId="44" applyFont="1" applyFill="1" applyBorder="1" applyAlignment="1" applyProtection="1">
      <alignment shrinkToFit="1"/>
      <protection/>
    </xf>
    <xf numFmtId="44" fontId="12" fillId="33" borderId="30" xfId="44" applyFont="1" applyFill="1" applyBorder="1" applyAlignment="1" applyProtection="1">
      <alignment shrinkToFit="1"/>
      <protection/>
    </xf>
    <xf numFmtId="49" fontId="17" fillId="33" borderId="34" xfId="0" applyNumberFormat="1" applyFont="1" applyFill="1" applyBorder="1" applyAlignment="1" applyProtection="1">
      <alignment horizontal="center" vertical="center" wrapText="1"/>
      <protection/>
    </xf>
    <xf numFmtId="0" fontId="8" fillId="33" borderId="34" xfId="0" applyFont="1" applyFill="1" applyBorder="1" applyAlignment="1" applyProtection="1">
      <alignment vertical="top"/>
      <protection/>
    </xf>
    <xf numFmtId="0" fontId="4" fillId="33" borderId="44" xfId="0" applyFont="1" applyFill="1" applyBorder="1" applyAlignment="1">
      <alignment wrapText="1"/>
    </xf>
    <xf numFmtId="0" fontId="4" fillId="33" borderId="45" xfId="0" applyFont="1" applyFill="1" applyBorder="1" applyAlignment="1">
      <alignment wrapText="1"/>
    </xf>
    <xf numFmtId="0" fontId="4" fillId="33" borderId="46" xfId="0" applyFont="1" applyFill="1" applyBorder="1" applyAlignment="1">
      <alignment wrapText="1"/>
    </xf>
    <xf numFmtId="0" fontId="4" fillId="33" borderId="47" xfId="0" applyFont="1" applyFill="1" applyBorder="1" applyAlignment="1">
      <alignment horizontal="center"/>
    </xf>
    <xf numFmtId="0" fontId="4" fillId="33" borderId="39" xfId="0" applyFont="1" applyFill="1" applyBorder="1" applyAlignment="1">
      <alignment horizontal="center"/>
    </xf>
    <xf numFmtId="0" fontId="4" fillId="33" borderId="40" xfId="0" applyFont="1" applyFill="1" applyBorder="1" applyAlignment="1">
      <alignment horizontal="center"/>
    </xf>
    <xf numFmtId="0" fontId="0" fillId="33" borderId="0" xfId="0" applyFont="1" applyFill="1" applyAlignment="1">
      <alignment wrapText="1"/>
    </xf>
    <xf numFmtId="0" fontId="0" fillId="33" borderId="0" xfId="0" applyFont="1" applyFill="1" applyAlignment="1" applyProtection="1">
      <alignment wrapText="1"/>
      <protection/>
    </xf>
    <xf numFmtId="0" fontId="20" fillId="33" borderId="0" xfId="0" applyFont="1" applyFill="1" applyBorder="1" applyAlignment="1">
      <alignment horizontal="left"/>
    </xf>
    <xf numFmtId="0" fontId="90" fillId="0" borderId="0" xfId="0" applyFont="1" applyFill="1" applyBorder="1" applyAlignment="1" applyProtection="1">
      <alignment horizontal="left" vertical="top" wrapText="1"/>
      <protection hidden="1"/>
    </xf>
    <xf numFmtId="0" fontId="5" fillId="33" borderId="0" xfId="53" applyFill="1"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1">
    <dxf>
      <font>
        <strike val="0"/>
      </font>
      <border>
        <bottom style="thin"/>
      </border>
    </dxf>
    <dxf>
      <border>
        <bottom style="thin"/>
      </border>
    </dxf>
    <dxf>
      <font>
        <u val="none"/>
        <strike val="0"/>
      </font>
      <border>
        <bottom style="thin"/>
      </border>
    </dxf>
    <dxf>
      <border>
        <bottom style="thin"/>
      </border>
    </dxf>
    <dxf>
      <border>
        <bottom/>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font>
        <u val="none"/>
        <strike val="0"/>
      </font>
      <border>
        <bottom style="thin"/>
      </border>
    </dxf>
    <dxf>
      <font>
        <u val="none"/>
        <strike val="0"/>
      </font>
      <border>
        <bottom style="thin"/>
      </border>
    </dxf>
    <dxf>
      <font>
        <u val="none"/>
        <strike val="0"/>
      </font>
      <border>
        <bottom style="thin"/>
      </border>
    </dxf>
    <dxf>
      <font>
        <u val="none"/>
        <strike val="0"/>
      </font>
      <border>
        <bottom style="thin"/>
      </border>
    </dxf>
    <dxf>
      <font>
        <u val="none"/>
        <strike val="0"/>
      </font>
      <border>
        <bottom style="thin"/>
      </border>
    </dxf>
    <dxf>
      <font>
        <u val="none"/>
        <strike val="0"/>
      </font>
      <border>
        <bottom style="thin"/>
      </border>
    </dxf>
    <dxf>
      <font>
        <u val="none"/>
        <strike val="0"/>
      </font>
      <border>
        <bottom style="thin">
          <color rgb="FF000000"/>
        </bottom>
      </border>
    </dxf>
    <dxf>
      <font>
        <strike val="0"/>
      </font>
      <numFmt numFmtId="7" formatCode="&quot;$&quot;#,##0.00_);\(&quot;$&quot;#,##0.00\)"/>
      <border>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oregonchildsupport.gov/laws/rules/docs/guidelines_scale.pdf" TargetMode="External" /><Relationship Id="rId3" Type="http://schemas.openxmlformats.org/officeDocument/2006/relationships/hyperlink" Target="http://oregonchildsupport.gov/laws/rules/docs/guidelines_scale.pdf" TargetMode="External" /><Relationship Id="rId4" Type="http://schemas.openxmlformats.org/officeDocument/2006/relationships/hyperlink" Target="http://oregonchildsupport.gov/laws/rules/docs/050_0755.pdf" TargetMode="External" /><Relationship Id="rId5" Type="http://schemas.openxmlformats.org/officeDocument/2006/relationships/hyperlink" Target="http://oregonchildsupport.gov/forms/docs/csf020910_instructions.pdf" TargetMode="External" /><Relationship Id="rId6" Type="http://schemas.openxmlformats.org/officeDocument/2006/relationships/hyperlink" Target="http://www.oregonchildsupport.gov/calculator/docs/release_notes.pdf" TargetMode="External" /><Relationship Id="rId7" Type="http://schemas.openxmlformats.org/officeDocument/2006/relationships/hyperlink" Target="http://oregonchildsupport.gov/laws/rules/docs/050_0730.pdf" TargetMode="External" /><Relationship Id="rId8" Type="http://schemas.openxmlformats.org/officeDocument/2006/relationships/hyperlink" Target="http://oregonchildsupport.gov/laws/rules/docs/050_0740.pdf"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oregonchildsupport.gov/laws/rules/docs/050_0730.pdf" TargetMode="External" /><Relationship Id="rId3" Type="http://schemas.openxmlformats.org/officeDocument/2006/relationships/hyperlink" Target="http://oregonchildsupport.gov/laws/rules/docs/guidelines_scale.pdf" TargetMode="External" /><Relationship Id="rId4" Type="http://schemas.openxmlformats.org/officeDocument/2006/relationships/hyperlink" Target="http://oregonchildsupport.gov/laws/rules/docs/guidelines_scale.pdf" TargetMode="External" /><Relationship Id="rId5" Type="http://schemas.openxmlformats.org/officeDocument/2006/relationships/hyperlink" Target="http://oregonchildsupport.gov/laws/rules/docs/050_0755.pdf" TargetMode="External" /><Relationship Id="rId6" Type="http://schemas.openxmlformats.org/officeDocument/2006/relationships/hyperlink" Target="http://oregonchildsupport.gov/laws/rules/docs/050_0760.pdf" TargetMode="External" /><Relationship Id="rId7" Type="http://schemas.openxmlformats.org/officeDocument/2006/relationships/hyperlink" Target="http://oregonchildsupport.gov/laws/rules/docs/050_0760.pdf" TargetMode="External" /><Relationship Id="rId8" Type="http://schemas.openxmlformats.org/officeDocument/2006/relationships/hyperlink" Target="http://oregonchildsupport.gov/laws/rules/docs/050_0760.pdf" TargetMode="External" /><Relationship Id="rId9" Type="http://schemas.openxmlformats.org/officeDocument/2006/relationships/hyperlink" Target="http://oregonchildsupport.gov/forms/docs/csf020910a_instructions.pdf" TargetMode="External" /><Relationship Id="rId10" Type="http://schemas.openxmlformats.org/officeDocument/2006/relationships/hyperlink" Target="http://oregonchildsupport.gov/laws/rules/docs/050_0740.pdf" TargetMode="External" /><Relationship Id="rId11" Type="http://schemas.openxmlformats.org/officeDocument/2006/relationships/hyperlink" Target="http://oregonchildsupport.gov/laws/rules/docs/050_0740.pd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209550</xdr:colOff>
      <xdr:row>3</xdr:row>
      <xdr:rowOff>9525</xdr:rowOff>
    </xdr:from>
    <xdr:ext cx="5915025" cy="742950"/>
    <xdr:sp>
      <xdr:nvSpPr>
        <xdr:cNvPr id="1" name="TextBox 4"/>
        <xdr:cNvSpPr txBox="1">
          <a:spLocks noChangeArrowheads="1"/>
        </xdr:cNvSpPr>
      </xdr:nvSpPr>
      <xdr:spPr>
        <a:xfrm>
          <a:off x="209550" y="561975"/>
          <a:ext cx="5915025" cy="742950"/>
        </a:xfrm>
        <a:prstGeom prst="rect">
          <a:avLst/>
        </a:prstGeom>
        <a:solidFill>
          <a:srgbClr val="FFFFFF"/>
        </a:solidFill>
        <a:ln w="6350"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Arial"/>
              <a:ea typeface="Arial"/>
              <a:cs typeface="Arial"/>
            </a:rPr>
            <a:t>This calculation</a:t>
          </a:r>
          <a:r>
            <a:rPr lang="en-US" cap="none" sz="1100" b="0" i="0" u="none" baseline="0">
              <a:solidFill>
                <a:srgbClr val="000000"/>
              </a:solidFill>
              <a:latin typeface="Arial"/>
              <a:ea typeface="Arial"/>
              <a:cs typeface="Arial"/>
            </a:rPr>
            <a:t> summary is not an order. It is a summary of the type and amount of support that could be ordered based on this calculation. An individual's actual obligation can only be established by court or administrative order in accordance with the laws of Oregon.
</a:t>
          </a:r>
          <a:r>
            <a:rPr lang="en-US" cap="none" sz="1100" b="0" i="0" u="none" baseline="0">
              <a:solidFill>
                <a:srgbClr val="000000"/>
              </a:solidFill>
              <a:latin typeface="Arial"/>
              <a:ea typeface="Arial"/>
              <a:cs typeface="Arial"/>
            </a:rPr>
            <a:t>For the actual terms of the judgment, see the judgment and money award.</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504825</xdr:colOff>
      <xdr:row>2</xdr:row>
      <xdr:rowOff>38100</xdr:rowOff>
    </xdr:from>
    <xdr:to>
      <xdr:col>5</xdr:col>
      <xdr:colOff>409575</xdr:colOff>
      <xdr:row>3</xdr:row>
      <xdr:rowOff>161925</xdr:rowOff>
    </xdr:to>
    <xdr:pic macro="[0]!ResetButton">
      <xdr:nvPicPr>
        <xdr:cNvPr id="1" name="Picture 15"/>
        <xdr:cNvPicPr preferRelativeResize="1">
          <a:picLocks noChangeAspect="1"/>
        </xdr:cNvPicPr>
      </xdr:nvPicPr>
      <xdr:blipFill>
        <a:blip r:embed="rId1"/>
        <a:stretch>
          <a:fillRect/>
        </a:stretch>
      </xdr:blipFill>
      <xdr:spPr>
        <a:xfrm>
          <a:off x="6086475" y="438150"/>
          <a:ext cx="847725" cy="323850"/>
        </a:xfrm>
        <a:prstGeom prst="rect">
          <a:avLst/>
        </a:prstGeom>
        <a:noFill/>
        <a:ln w="9525" cmpd="sng">
          <a:noFill/>
        </a:ln>
      </xdr:spPr>
    </xdr:pic>
    <xdr:clientData fLocksWithSheet="0"/>
  </xdr:twoCellAnchor>
  <xdr:twoCellAnchor>
    <xdr:from>
      <xdr:col>2</xdr:col>
      <xdr:colOff>781050</xdr:colOff>
      <xdr:row>23</xdr:row>
      <xdr:rowOff>200025</xdr:rowOff>
    </xdr:from>
    <xdr:to>
      <xdr:col>2</xdr:col>
      <xdr:colOff>1123950</xdr:colOff>
      <xdr:row>23</xdr:row>
      <xdr:rowOff>342900</xdr:rowOff>
    </xdr:to>
    <xdr:sp>
      <xdr:nvSpPr>
        <xdr:cNvPr id="2" name="Rectangle 2">
          <a:hlinkClick r:id="rId2"/>
        </xdr:cNvPr>
        <xdr:cNvSpPr>
          <a:spLocks/>
        </xdr:cNvSpPr>
      </xdr:nvSpPr>
      <xdr:spPr>
        <a:xfrm>
          <a:off x="1114425" y="5534025"/>
          <a:ext cx="342900" cy="1428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762000</xdr:colOff>
      <xdr:row>31</xdr:row>
      <xdr:rowOff>0</xdr:rowOff>
    </xdr:from>
    <xdr:to>
      <xdr:col>2</xdr:col>
      <xdr:colOff>1133475</xdr:colOff>
      <xdr:row>31</xdr:row>
      <xdr:rowOff>171450</xdr:rowOff>
    </xdr:to>
    <xdr:sp>
      <xdr:nvSpPr>
        <xdr:cNvPr id="3" name="Rectangle 8">
          <a:hlinkClick r:id="rId3"/>
        </xdr:cNvPr>
        <xdr:cNvSpPr>
          <a:spLocks/>
        </xdr:cNvSpPr>
      </xdr:nvSpPr>
      <xdr:spPr>
        <a:xfrm>
          <a:off x="1095375" y="8543925"/>
          <a:ext cx="371475" cy="17145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1790700</xdr:colOff>
      <xdr:row>81</xdr:row>
      <xdr:rowOff>581025</xdr:rowOff>
    </xdr:from>
    <xdr:to>
      <xdr:col>2</xdr:col>
      <xdr:colOff>3000375</xdr:colOff>
      <xdr:row>81</xdr:row>
      <xdr:rowOff>733425</xdr:rowOff>
    </xdr:to>
    <xdr:sp>
      <xdr:nvSpPr>
        <xdr:cNvPr id="4" name="Rectangle 5">
          <a:hlinkClick r:id="rId4"/>
        </xdr:cNvPr>
        <xdr:cNvSpPr>
          <a:spLocks/>
        </xdr:cNvSpPr>
      </xdr:nvSpPr>
      <xdr:spPr>
        <a:xfrm>
          <a:off x="2124075" y="35852100"/>
          <a:ext cx="1209675" cy="15240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66675</xdr:rowOff>
    </xdr:from>
    <xdr:to>
      <xdr:col>2</xdr:col>
      <xdr:colOff>4210050</xdr:colOff>
      <xdr:row>0</xdr:row>
      <xdr:rowOff>180975</xdr:rowOff>
    </xdr:to>
    <xdr:sp>
      <xdr:nvSpPr>
        <xdr:cNvPr id="5" name="Rectangle 9">
          <a:hlinkClick r:id="rId5"/>
        </xdr:cNvPr>
        <xdr:cNvSpPr>
          <a:spLocks/>
        </xdr:cNvSpPr>
      </xdr:nvSpPr>
      <xdr:spPr>
        <a:xfrm>
          <a:off x="19050" y="66675"/>
          <a:ext cx="4524375" cy="11430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0</xdr:colOff>
      <xdr:row>1</xdr:row>
      <xdr:rowOff>38100</xdr:rowOff>
    </xdr:from>
    <xdr:ext cx="4552950" cy="171450"/>
    <xdr:sp>
      <xdr:nvSpPr>
        <xdr:cNvPr id="6" name="Rectangle 15"/>
        <xdr:cNvSpPr>
          <a:spLocks/>
        </xdr:cNvSpPr>
      </xdr:nvSpPr>
      <xdr:spPr>
        <a:xfrm>
          <a:off x="0" y="238125"/>
          <a:ext cx="4552950" cy="17145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38100</xdr:colOff>
      <xdr:row>1</xdr:row>
      <xdr:rowOff>9525</xdr:rowOff>
    </xdr:from>
    <xdr:to>
      <xdr:col>2</xdr:col>
      <xdr:colOff>561975</xdr:colOff>
      <xdr:row>1</xdr:row>
      <xdr:rowOff>161925</xdr:rowOff>
    </xdr:to>
    <xdr:sp>
      <xdr:nvSpPr>
        <xdr:cNvPr id="7" name="Rectangle 13">
          <a:hlinkClick r:id="rId6"/>
        </xdr:cNvPr>
        <xdr:cNvSpPr>
          <a:spLocks/>
        </xdr:cNvSpPr>
      </xdr:nvSpPr>
      <xdr:spPr>
        <a:xfrm>
          <a:off x="38100" y="209550"/>
          <a:ext cx="857250" cy="15240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66</xdr:row>
      <xdr:rowOff>552450</xdr:rowOff>
    </xdr:from>
    <xdr:to>
      <xdr:col>2</xdr:col>
      <xdr:colOff>1800225</xdr:colOff>
      <xdr:row>66</xdr:row>
      <xdr:rowOff>733425</xdr:rowOff>
    </xdr:to>
    <xdr:sp>
      <xdr:nvSpPr>
        <xdr:cNvPr id="8" name="Rectangle 11">
          <a:hlinkClick r:id="rId7"/>
        </xdr:cNvPr>
        <xdr:cNvSpPr>
          <a:spLocks/>
        </xdr:cNvSpPr>
      </xdr:nvSpPr>
      <xdr:spPr>
        <a:xfrm>
          <a:off x="962025" y="26603325"/>
          <a:ext cx="1171575" cy="1809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2743200</xdr:colOff>
      <xdr:row>84</xdr:row>
      <xdr:rowOff>400050</xdr:rowOff>
    </xdr:from>
    <xdr:to>
      <xdr:col>2</xdr:col>
      <xdr:colOff>3914775</xdr:colOff>
      <xdr:row>84</xdr:row>
      <xdr:rowOff>561975</xdr:rowOff>
    </xdr:to>
    <xdr:sp>
      <xdr:nvSpPr>
        <xdr:cNvPr id="9" name="Rectangle 4">
          <a:hlinkClick r:id="rId8"/>
        </xdr:cNvPr>
        <xdr:cNvSpPr>
          <a:spLocks/>
        </xdr:cNvSpPr>
      </xdr:nvSpPr>
      <xdr:spPr>
        <a:xfrm>
          <a:off x="3076575" y="38719125"/>
          <a:ext cx="1171575" cy="1619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47625</xdr:colOff>
      <xdr:row>1</xdr:row>
      <xdr:rowOff>28575</xdr:rowOff>
    </xdr:from>
    <xdr:to>
      <xdr:col>4</xdr:col>
      <xdr:colOff>885825</xdr:colOff>
      <xdr:row>2</xdr:row>
      <xdr:rowOff>171450</xdr:rowOff>
    </xdr:to>
    <xdr:pic macro="[0]!ResetRebuttal">
      <xdr:nvPicPr>
        <xdr:cNvPr id="1" name="Picture 15"/>
        <xdr:cNvPicPr preferRelativeResize="1">
          <a:picLocks noChangeAspect="1"/>
        </xdr:cNvPicPr>
      </xdr:nvPicPr>
      <xdr:blipFill>
        <a:blip r:embed="rId1"/>
        <a:stretch>
          <a:fillRect/>
        </a:stretch>
      </xdr:blipFill>
      <xdr:spPr>
        <a:xfrm>
          <a:off x="6772275" y="219075"/>
          <a:ext cx="838200" cy="342900"/>
        </a:xfrm>
        <a:prstGeom prst="rect">
          <a:avLst/>
        </a:prstGeom>
        <a:noFill/>
        <a:ln w="9525" cmpd="sng">
          <a:noFill/>
        </a:ln>
      </xdr:spPr>
    </xdr:pic>
    <xdr:clientData fLocksWithSheet="0"/>
  </xdr:twoCellAnchor>
  <xdr:twoCellAnchor>
    <xdr:from>
      <xdr:col>1</xdr:col>
      <xdr:colOff>714375</xdr:colOff>
      <xdr:row>84</xdr:row>
      <xdr:rowOff>542925</xdr:rowOff>
    </xdr:from>
    <xdr:to>
      <xdr:col>1</xdr:col>
      <xdr:colOff>1895475</xdr:colOff>
      <xdr:row>84</xdr:row>
      <xdr:rowOff>685800</xdr:rowOff>
    </xdr:to>
    <xdr:sp>
      <xdr:nvSpPr>
        <xdr:cNvPr id="2" name="Rectangle 3">
          <a:hlinkClick r:id="rId2"/>
        </xdr:cNvPr>
        <xdr:cNvSpPr>
          <a:spLocks/>
        </xdr:cNvSpPr>
      </xdr:nvSpPr>
      <xdr:spPr>
        <a:xfrm>
          <a:off x="1200150" y="34366200"/>
          <a:ext cx="1181100" cy="1428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885825</xdr:colOff>
      <xdr:row>24</xdr:row>
      <xdr:rowOff>219075</xdr:rowOff>
    </xdr:from>
    <xdr:to>
      <xdr:col>1</xdr:col>
      <xdr:colOff>1219200</xdr:colOff>
      <xdr:row>24</xdr:row>
      <xdr:rowOff>352425</xdr:rowOff>
    </xdr:to>
    <xdr:sp>
      <xdr:nvSpPr>
        <xdr:cNvPr id="3" name="Rectangle 1">
          <a:hlinkClick r:id="rId3"/>
        </xdr:cNvPr>
        <xdr:cNvSpPr>
          <a:spLocks/>
        </xdr:cNvSpPr>
      </xdr:nvSpPr>
      <xdr:spPr>
        <a:xfrm>
          <a:off x="1371600" y="6334125"/>
          <a:ext cx="333375" cy="13335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37</xdr:row>
      <xdr:rowOff>0</xdr:rowOff>
    </xdr:from>
    <xdr:to>
      <xdr:col>1</xdr:col>
      <xdr:colOff>1238250</xdr:colOff>
      <xdr:row>37</xdr:row>
      <xdr:rowOff>171450</xdr:rowOff>
    </xdr:to>
    <xdr:sp>
      <xdr:nvSpPr>
        <xdr:cNvPr id="4" name="Rectangle 2">
          <a:hlinkClick r:id="rId4"/>
        </xdr:cNvPr>
        <xdr:cNvSpPr>
          <a:spLocks/>
        </xdr:cNvSpPr>
      </xdr:nvSpPr>
      <xdr:spPr>
        <a:xfrm>
          <a:off x="1381125" y="11258550"/>
          <a:ext cx="342900" cy="17145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2143125</xdr:colOff>
      <xdr:row>100</xdr:row>
      <xdr:rowOff>581025</xdr:rowOff>
    </xdr:from>
    <xdr:to>
      <xdr:col>1</xdr:col>
      <xdr:colOff>3324225</xdr:colOff>
      <xdr:row>100</xdr:row>
      <xdr:rowOff>742950</xdr:rowOff>
    </xdr:to>
    <xdr:sp>
      <xdr:nvSpPr>
        <xdr:cNvPr id="5" name="Rectangle 6">
          <a:hlinkClick r:id="rId5"/>
        </xdr:cNvPr>
        <xdr:cNvSpPr>
          <a:spLocks/>
        </xdr:cNvSpPr>
      </xdr:nvSpPr>
      <xdr:spPr>
        <a:xfrm>
          <a:off x="2628900" y="44196000"/>
          <a:ext cx="1181100" cy="1619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xdr:row>
      <xdr:rowOff>47625</xdr:rowOff>
    </xdr:from>
    <xdr:to>
      <xdr:col>1</xdr:col>
      <xdr:colOff>1619250</xdr:colOff>
      <xdr:row>28</xdr:row>
      <xdr:rowOff>171450</xdr:rowOff>
    </xdr:to>
    <xdr:sp>
      <xdr:nvSpPr>
        <xdr:cNvPr id="6" name="Rectangle 8">
          <a:hlinkClick r:id="rId6"/>
        </xdr:cNvPr>
        <xdr:cNvSpPr>
          <a:spLocks/>
        </xdr:cNvSpPr>
      </xdr:nvSpPr>
      <xdr:spPr>
        <a:xfrm>
          <a:off x="514350" y="8258175"/>
          <a:ext cx="1590675"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54</xdr:row>
      <xdr:rowOff>57150</xdr:rowOff>
    </xdr:from>
    <xdr:to>
      <xdr:col>1</xdr:col>
      <xdr:colOff>1600200</xdr:colOff>
      <xdr:row>54</xdr:row>
      <xdr:rowOff>180975</xdr:rowOff>
    </xdr:to>
    <xdr:sp>
      <xdr:nvSpPr>
        <xdr:cNvPr id="7" name="Rectangle 9">
          <a:hlinkClick r:id="rId7"/>
        </xdr:cNvPr>
        <xdr:cNvSpPr>
          <a:spLocks/>
        </xdr:cNvSpPr>
      </xdr:nvSpPr>
      <xdr:spPr>
        <a:xfrm>
          <a:off x="523875" y="16973550"/>
          <a:ext cx="156210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130</xdr:row>
      <xdr:rowOff>47625</xdr:rowOff>
    </xdr:from>
    <xdr:to>
      <xdr:col>1</xdr:col>
      <xdr:colOff>1619250</xdr:colOff>
      <xdr:row>130</xdr:row>
      <xdr:rowOff>161925</xdr:rowOff>
    </xdr:to>
    <xdr:sp>
      <xdr:nvSpPr>
        <xdr:cNvPr id="8" name="Rectangle 10">
          <a:hlinkClick r:id="rId8"/>
        </xdr:cNvPr>
        <xdr:cNvSpPr>
          <a:spLocks/>
        </xdr:cNvSpPr>
      </xdr:nvSpPr>
      <xdr:spPr>
        <a:xfrm>
          <a:off x="523875" y="63331725"/>
          <a:ext cx="1581150" cy="11430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1</xdr:row>
      <xdr:rowOff>47625</xdr:rowOff>
    </xdr:from>
    <xdr:to>
      <xdr:col>1</xdr:col>
      <xdr:colOff>4105275</xdr:colOff>
      <xdr:row>1</xdr:row>
      <xdr:rowOff>161925</xdr:rowOff>
    </xdr:to>
    <xdr:sp>
      <xdr:nvSpPr>
        <xdr:cNvPr id="9" name="Rectangle 4">
          <a:hlinkClick r:id="rId9"/>
        </xdr:cNvPr>
        <xdr:cNvSpPr>
          <a:spLocks/>
        </xdr:cNvSpPr>
      </xdr:nvSpPr>
      <xdr:spPr>
        <a:xfrm>
          <a:off x="809625" y="238125"/>
          <a:ext cx="3781425" cy="11430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2857500</xdr:colOff>
      <xdr:row>103</xdr:row>
      <xdr:rowOff>361950</xdr:rowOff>
    </xdr:from>
    <xdr:to>
      <xdr:col>1</xdr:col>
      <xdr:colOff>3743325</xdr:colOff>
      <xdr:row>103</xdr:row>
      <xdr:rowOff>552450</xdr:rowOff>
    </xdr:to>
    <xdr:sp>
      <xdr:nvSpPr>
        <xdr:cNvPr id="10" name="Rectangle 13">
          <a:hlinkClick r:id="rId10"/>
        </xdr:cNvPr>
        <xdr:cNvSpPr>
          <a:spLocks/>
        </xdr:cNvSpPr>
      </xdr:nvSpPr>
      <xdr:spPr>
        <a:xfrm>
          <a:off x="3343275" y="47034450"/>
          <a:ext cx="885825" cy="19050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876300</xdr:colOff>
      <xdr:row>10</xdr:row>
      <xdr:rowOff>190500</xdr:rowOff>
    </xdr:to>
    <xdr:sp>
      <xdr:nvSpPr>
        <xdr:cNvPr id="11" name="Rectangle 12"/>
        <xdr:cNvSpPr>
          <a:spLocks/>
        </xdr:cNvSpPr>
      </xdr:nvSpPr>
      <xdr:spPr>
        <a:xfrm>
          <a:off x="4629150" y="2057400"/>
          <a:ext cx="876300" cy="19050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103</xdr:row>
      <xdr:rowOff>561975</xdr:rowOff>
    </xdr:from>
    <xdr:to>
      <xdr:col>1</xdr:col>
      <xdr:colOff>323850</xdr:colOff>
      <xdr:row>103</xdr:row>
      <xdr:rowOff>771525</xdr:rowOff>
    </xdr:to>
    <xdr:sp>
      <xdr:nvSpPr>
        <xdr:cNvPr id="12" name="Rectangle 15">
          <a:hlinkClick r:id="rId11"/>
        </xdr:cNvPr>
        <xdr:cNvSpPr>
          <a:spLocks/>
        </xdr:cNvSpPr>
      </xdr:nvSpPr>
      <xdr:spPr>
        <a:xfrm>
          <a:off x="514350" y="47234475"/>
          <a:ext cx="295275" cy="20955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oregonchildsupport.gov/laws/rules/docs/050_0750.pdf" TargetMode="External" /><Relationship Id="rId2" Type="http://schemas.openxmlformats.org/officeDocument/2006/relationships/hyperlink" Target="https://aspe.hhs.gov/poverty-research#latest" TargetMode="Externa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N54"/>
  <sheetViews>
    <sheetView showGridLines="0" showRowColHeaders="0" workbookViewId="0" topLeftCell="A1">
      <selection activeCell="A1" sqref="A1:J1"/>
    </sheetView>
  </sheetViews>
  <sheetFormatPr defaultColWidth="9.140625" defaultRowHeight="12.75"/>
  <cols>
    <col min="1" max="1" width="6.28125" style="0" customWidth="1"/>
    <col min="2" max="2" width="6.140625" style="0" customWidth="1"/>
    <col min="3" max="3" width="30.421875" style="0" customWidth="1"/>
    <col min="4" max="4" width="11.28125" style="0" customWidth="1"/>
    <col min="5" max="5" width="8.57421875" style="0" customWidth="1"/>
    <col min="6" max="6" width="11.57421875" style="0" customWidth="1"/>
    <col min="7" max="7" width="5.140625" style="0" customWidth="1"/>
    <col min="8" max="8" width="4.28125" style="0" customWidth="1"/>
    <col min="9" max="9" width="3.8515625" style="0" customWidth="1"/>
    <col min="10" max="10" width="13.421875" style="0" customWidth="1"/>
    <col min="14" max="14" width="8.8515625" style="159" customWidth="1"/>
  </cols>
  <sheetData>
    <row r="1" spans="1:10" ht="15">
      <c r="A1" s="393" t="s">
        <v>200</v>
      </c>
      <c r="B1" s="393"/>
      <c r="C1" s="393"/>
      <c r="D1" s="393"/>
      <c r="E1" s="393"/>
      <c r="F1" s="393"/>
      <c r="G1" s="393"/>
      <c r="H1" s="393"/>
      <c r="I1" s="393"/>
      <c r="J1" s="393"/>
    </row>
    <row r="2" spans="1:9" ht="14.25">
      <c r="A2" s="394" t="s">
        <v>201</v>
      </c>
      <c r="B2" s="394"/>
      <c r="C2" s="394"/>
      <c r="D2" s="148"/>
      <c r="E2" s="148"/>
      <c r="F2" s="148"/>
      <c r="G2" s="148"/>
      <c r="H2" s="148"/>
      <c r="I2" s="148"/>
    </row>
    <row r="3" spans="1:10" ht="14.25">
      <c r="A3" s="92"/>
      <c r="B3" s="92"/>
      <c r="C3" s="92"/>
      <c r="D3" s="92"/>
      <c r="E3" s="92"/>
      <c r="F3" s="92"/>
      <c r="G3" s="92"/>
      <c r="H3" s="92"/>
      <c r="I3" s="92"/>
      <c r="J3" s="92"/>
    </row>
    <row r="4" spans="1:10" ht="14.25">
      <c r="A4" s="92"/>
      <c r="B4" s="92"/>
      <c r="C4" s="92"/>
      <c r="D4" s="92"/>
      <c r="E4" s="92"/>
      <c r="F4" s="92"/>
      <c r="G4" s="92"/>
      <c r="H4" s="92"/>
      <c r="I4" s="92"/>
      <c r="J4" s="92"/>
    </row>
    <row r="5" spans="1:10" ht="14.25">
      <c r="A5" s="92"/>
      <c r="B5" s="92"/>
      <c r="C5" s="92"/>
      <c r="D5" s="92"/>
      <c r="E5" s="92"/>
      <c r="F5" s="92"/>
      <c r="G5" s="92"/>
      <c r="H5" s="92"/>
      <c r="I5" s="92"/>
      <c r="J5" s="92"/>
    </row>
    <row r="6" spans="1:10" ht="14.25">
      <c r="A6" s="92"/>
      <c r="B6" s="92"/>
      <c r="C6" s="92"/>
      <c r="D6" s="92"/>
      <c r="E6" s="92"/>
      <c r="F6" s="92"/>
      <c r="G6" s="92"/>
      <c r="H6" s="92"/>
      <c r="I6" s="92"/>
      <c r="J6" s="92"/>
    </row>
    <row r="7" spans="1:10" ht="14.25">
      <c r="A7" s="92"/>
      <c r="B7" s="92"/>
      <c r="C7" s="92"/>
      <c r="D7" s="92"/>
      <c r="E7" s="92"/>
      <c r="F7" s="92"/>
      <c r="G7" s="92"/>
      <c r="H7" s="92"/>
      <c r="I7" s="92"/>
      <c r="J7" s="92"/>
    </row>
    <row r="8" spans="1:10" ht="14.25">
      <c r="A8" s="92"/>
      <c r="B8" s="92"/>
      <c r="C8" s="92"/>
      <c r="D8" s="92"/>
      <c r="E8" s="92"/>
      <c r="F8" s="92"/>
      <c r="G8" s="92"/>
      <c r="H8" s="92"/>
      <c r="I8" s="92"/>
      <c r="J8" s="92"/>
    </row>
    <row r="9" spans="1:10" ht="14.25">
      <c r="A9" s="92"/>
      <c r="B9" s="92"/>
      <c r="C9" s="92"/>
      <c r="D9" s="92"/>
      <c r="E9" s="92"/>
      <c r="F9" s="92"/>
      <c r="G9" s="92"/>
      <c r="H9" s="92"/>
      <c r="I9" s="92"/>
      <c r="J9" s="92"/>
    </row>
    <row r="10" spans="1:9" ht="14.25" customHeight="1">
      <c r="A10" s="262" t="str">
        <f>+"The monthly guideline support amount for"</f>
        <v>The monthly guideline support amount for</v>
      </c>
      <c r="B10" s="262"/>
      <c r="C10" s="262"/>
      <c r="D10" s="396" t="str">
        <f>+pname1</f>
        <v>name</v>
      </c>
      <c r="E10" s="396"/>
      <c r="F10" s="263" t="s">
        <v>288</v>
      </c>
      <c r="G10" s="107"/>
      <c r="H10" s="107"/>
      <c r="I10" s="107"/>
    </row>
    <row r="11" spans="1:10" ht="14.25">
      <c r="A11" s="92"/>
      <c r="B11" s="92"/>
      <c r="C11" s="92"/>
      <c r="D11" s="92"/>
      <c r="E11" s="92"/>
      <c r="F11" s="92"/>
      <c r="G11" s="92"/>
      <c r="H11" s="92"/>
      <c r="I11" s="92"/>
      <c r="J11" s="92"/>
    </row>
    <row r="12" spans="1:10" ht="14.25">
      <c r="A12" s="264"/>
      <c r="B12" s="265" t="s">
        <v>202</v>
      </c>
      <c r="C12" s="265"/>
      <c r="D12" s="265"/>
      <c r="E12" s="265"/>
      <c r="F12" s="265"/>
      <c r="G12" s="265"/>
      <c r="H12" s="265"/>
      <c r="I12" s="266" t="s">
        <v>289</v>
      </c>
      <c r="J12" s="152">
        <f>IF(ISBLANK(agcashchg1),csminorch1,agccsminorch1)</f>
        <v>0</v>
      </c>
    </row>
    <row r="13" spans="1:10" ht="14.25">
      <c r="A13" s="264"/>
      <c r="B13" s="265" t="s">
        <v>203</v>
      </c>
      <c r="C13" s="265"/>
      <c r="D13" s="265"/>
      <c r="E13" s="265"/>
      <c r="F13" s="265"/>
      <c r="G13" s="265"/>
      <c r="H13" s="265"/>
      <c r="I13" s="266" t="s">
        <v>289</v>
      </c>
      <c r="J13" s="153">
        <f>IF(ISBLANK(agcashchg1),csCASch1,agccsCASch1)</f>
        <v>0</v>
      </c>
    </row>
    <row r="14" spans="1:10" ht="14.25">
      <c r="A14" s="264"/>
      <c r="B14" s="265" t="str">
        <f>"Cash medical support "&amp;IF(cmelection?="c","when not providing private health care coverage","")</f>
        <v>Cash medical support </v>
      </c>
      <c r="C14" s="265"/>
      <c r="D14" s="265"/>
      <c r="E14" s="265"/>
      <c r="F14" s="265"/>
      <c r="G14" s="265"/>
      <c r="H14" s="265"/>
      <c r="I14" s="266" t="s">
        <v>289</v>
      </c>
      <c r="J14" s="154">
        <f>IF(OR(ISBLANK(agcashchg1),agcashchg1=0),cmedsminorch1+cmedsCASch1,agcmsminorch1+agcmsCASch1)</f>
        <v>0</v>
      </c>
    </row>
    <row r="15" spans="1:14" ht="14.25">
      <c r="A15" s="264"/>
      <c r="B15" s="265" t="str">
        <f>+"Private health care coverage for the children not to exceed"</f>
        <v>Private health care coverage for the children not to exceed</v>
      </c>
      <c r="C15" s="265"/>
      <c r="D15" s="265"/>
      <c r="E15" s="265"/>
      <c r="F15" s="395">
        <f>IF(WhoWillProvide="","",IF(WhoWillProvide=either_parent_when_available,P1_PHCC_OR_ZERO,IF(ISERROR(SEARCH(pname1,WhoWillProvide)),IF(ISERROR(SEARCH(pname2,WhoWillProvide)),P1_PHCC_OR_ZERO,"N/A"),P1_PHCC_OR_ZERO)))</f>
      </c>
      <c r="G15" s="395"/>
      <c r="H15" s="150"/>
      <c r="I15" s="265"/>
      <c r="J15" s="155"/>
      <c r="N15" s="159">
        <f>IF(income1&lt;=minwage,0,PHCC)</f>
        <v>0</v>
      </c>
    </row>
    <row r="16" spans="1:10" ht="14.25">
      <c r="A16" s="264"/>
      <c r="B16" s="389">
        <f>IF(PrivateHCC="either parent when available","any time it becomes available","")</f>
      </c>
      <c r="C16" s="389"/>
      <c r="D16" s="265"/>
      <c r="E16" s="265"/>
      <c r="F16" s="265"/>
      <c r="G16" s="265"/>
      <c r="H16" s="265"/>
      <c r="I16" s="265"/>
      <c r="J16" s="155"/>
    </row>
    <row r="17" spans="1:10" ht="14.25">
      <c r="A17" s="268"/>
      <c r="B17" s="268"/>
      <c r="C17" s="268"/>
      <c r="D17" s="268"/>
      <c r="E17" s="268"/>
      <c r="F17" s="268"/>
      <c r="G17" s="268"/>
      <c r="H17" s="268"/>
      <c r="I17" s="268"/>
      <c r="J17" s="155"/>
    </row>
    <row r="18" spans="1:10" ht="15">
      <c r="A18" s="264"/>
      <c r="B18" s="269"/>
      <c r="C18" s="397" t="s">
        <v>204</v>
      </c>
      <c r="D18" s="397"/>
      <c r="E18" s="397"/>
      <c r="F18" s="262"/>
      <c r="G18" s="262"/>
      <c r="H18" s="262"/>
      <c r="I18" s="266" t="s">
        <v>289</v>
      </c>
      <c r="J18" s="153">
        <f>IF(ISBLANK(agcashchg1),totalCS1,totalagcs1)</f>
        <v>0</v>
      </c>
    </row>
    <row r="19" spans="1:10" ht="14.25">
      <c r="A19" s="268"/>
      <c r="B19" s="268"/>
      <c r="C19" s="268"/>
      <c r="D19" s="268"/>
      <c r="E19" s="268"/>
      <c r="F19" s="268"/>
      <c r="G19" s="268"/>
      <c r="H19" s="268"/>
      <c r="I19" s="268"/>
      <c r="J19" s="155"/>
    </row>
    <row r="20" spans="1:10" ht="14.25">
      <c r="A20" s="268"/>
      <c r="B20" s="268"/>
      <c r="C20" s="268"/>
      <c r="D20" s="268"/>
      <c r="E20" s="268"/>
      <c r="F20" s="268"/>
      <c r="G20" s="268"/>
      <c r="H20" s="268"/>
      <c r="I20" s="268"/>
      <c r="J20" s="155"/>
    </row>
    <row r="21" spans="1:10" ht="15">
      <c r="A21" s="262">
        <f>IF(AND(pname1=pname2,ptype1=ptype2),"","The monthly guideline support amount for ")</f>
      </c>
      <c r="B21" s="262"/>
      <c r="C21" s="262"/>
      <c r="D21" s="398">
        <f>IF(AND(pname1=pname2,ptype1=ptype2),"",pname2)</f>
      </c>
      <c r="E21" s="398"/>
      <c r="F21" s="263">
        <f>IF(ParentBUnderlines,"is:","")</f>
      </c>
      <c r="G21" s="263"/>
      <c r="H21" s="263"/>
      <c r="I21" s="263"/>
      <c r="J21" s="155"/>
    </row>
    <row r="22" spans="1:14" ht="15">
      <c r="A22" s="263"/>
      <c r="B22" s="263"/>
      <c r="C22" s="263"/>
      <c r="D22" s="263"/>
      <c r="E22" s="263"/>
      <c r="F22" s="263"/>
      <c r="G22" s="263"/>
      <c r="H22" s="263"/>
      <c r="I22" s="263"/>
      <c r="J22" s="155"/>
      <c r="N22" s="159" t="b">
        <f>IF(AND(pname1=pname2,ptype1=ptype2),FALSE,TRUE)</f>
        <v>0</v>
      </c>
    </row>
    <row r="23" spans="2:10" ht="14.25">
      <c r="B23" s="147">
        <f>IF(AND(pname1=pname2,ptype1=ptype2),"","Support for the minor children")</f>
      </c>
      <c r="C23" s="265"/>
      <c r="D23" s="265"/>
      <c r="E23" s="265"/>
      <c r="F23" s="265"/>
      <c r="G23" s="265"/>
      <c r="H23" s="265"/>
      <c r="I23" s="266">
        <f>IF(AND(pname1=pname2,ptype1=ptype2),"","$")</f>
      </c>
      <c r="J23" s="155">
        <f>IF(P2Title="","",IF(ISBLANK(agcashchg2),csminorch2,agccsminorch2))</f>
      </c>
    </row>
    <row r="24" spans="1:10" ht="14.25">
      <c r="A24" s="264"/>
      <c r="B24" s="265">
        <f>IF(P2Title="","","Support for the children attending school")</f>
      </c>
      <c r="C24" s="147"/>
      <c r="D24" s="147"/>
      <c r="E24" s="151"/>
      <c r="F24" s="147"/>
      <c r="G24" s="147"/>
      <c r="H24" s="147"/>
      <c r="I24" s="149">
        <f>IF(AND(pname1=pname2,ptype1=ptype2),"","$")</f>
      </c>
      <c r="J24" s="155">
        <f>IF(P2Title="","",IF(ISBLANK(agcashchg2),csCASch2,agccsCASch2))</f>
      </c>
    </row>
    <row r="25" spans="1:10" ht="14.25">
      <c r="A25" s="264"/>
      <c r="B25" s="265">
        <f>IF(P2Title="","","Cash medical support "&amp;IF(cmelection?="c","when not providing private health care coverage",""))</f>
      </c>
      <c r="C25" s="265"/>
      <c r="D25" s="265"/>
      <c r="E25" s="265"/>
      <c r="F25" s="265"/>
      <c r="G25" s="265"/>
      <c r="H25" s="265"/>
      <c r="I25" s="266">
        <f>IF(AND(pname1=pname2,ptype1=ptype2),"","$")</f>
      </c>
      <c r="J25" s="155">
        <f>IF(P2Title="","",IF(OR(ISBLANK(agcashchg2),agcashchg2=0),cmedsminorch2+cmedsCASch2,agcmsminorch2+agcmsCASch2))</f>
      </c>
    </row>
    <row r="26" spans="1:14" ht="14.25">
      <c r="A26" s="264"/>
      <c r="B26" s="265">
        <f>IF(P2Title="","","Private health care coverage for the children not to exceed")</f>
      </c>
      <c r="C26" s="265"/>
      <c r="D26" s="265"/>
      <c r="E26" s="265"/>
      <c r="F26" s="401">
        <f>IF(ParentBUnderlines,IF(WhoWillProvide="","",IF(WhoWillProvide=either_parent_when_available,P2_PHCC_OR_ZERO,IF(ISERROR(SEARCH(pname2,WhoWillProvide)),IF(ISERROR(SEARCH(pname1,WhoWillProvide)),P2_PHCC_OR_ZERO,"N/A"),P2_PHCC_OR_ZERO))),"")</f>
      </c>
      <c r="G26" s="401"/>
      <c r="H26" s="265"/>
      <c r="I26" s="265"/>
      <c r="J26" s="155"/>
      <c r="N26" s="160">
        <f>IF(income2&lt;=minwage,0,PHCC)</f>
        <v>0</v>
      </c>
    </row>
    <row r="27" spans="1:10" ht="14.25">
      <c r="A27" s="264"/>
      <c r="B27" s="389">
        <f>IF(P2Title="","",IF(PrivateHCC="either parent when available","any time it becomes available",""))</f>
      </c>
      <c r="C27" s="389"/>
      <c r="D27" s="265"/>
      <c r="E27" s="265"/>
      <c r="F27" s="265"/>
      <c r="G27" s="265"/>
      <c r="H27" s="265"/>
      <c r="I27" s="265"/>
      <c r="J27" s="155"/>
    </row>
    <row r="28" spans="1:10" ht="14.25">
      <c r="A28" s="268"/>
      <c r="B28" s="268"/>
      <c r="C28" s="268"/>
      <c r="D28" s="268"/>
      <c r="E28" s="268"/>
      <c r="F28" s="268"/>
      <c r="G28" s="268"/>
      <c r="H28" s="268"/>
      <c r="I28" s="268"/>
      <c r="J28" s="267"/>
    </row>
    <row r="29" spans="1:10" ht="15">
      <c r="A29" s="264"/>
      <c r="B29" s="269"/>
      <c r="C29" s="397">
        <f>IF(P2Title="","","The total monthly guideline support amount is:")</f>
      </c>
      <c r="D29" s="397"/>
      <c r="E29" s="397"/>
      <c r="F29" s="262"/>
      <c r="G29" s="262"/>
      <c r="H29" s="262"/>
      <c r="I29" s="266">
        <f>IF(AND(pname1=pname2,ptype1=ptype2),"","$")</f>
      </c>
      <c r="J29" s="155">
        <f>IF(P2Title="","",IF(ISBLANK(agcashchg2),totalCS2,totalagcs2))</f>
      </c>
    </row>
    <row r="30" spans="1:10" ht="14.25">
      <c r="A30" s="268"/>
      <c r="B30" s="268"/>
      <c r="C30" s="268"/>
      <c r="D30" s="268"/>
      <c r="E30" s="268"/>
      <c r="F30" s="268"/>
      <c r="G30" s="268"/>
      <c r="H30" s="268"/>
      <c r="I30" s="268"/>
      <c r="J30" s="155"/>
    </row>
    <row r="31" spans="1:10" ht="14.25">
      <c r="A31" s="268"/>
      <c r="B31" s="268"/>
      <c r="C31" s="268"/>
      <c r="D31" s="268"/>
      <c r="E31" s="268"/>
      <c r="F31" s="268"/>
      <c r="G31" s="268"/>
      <c r="H31" s="268"/>
      <c r="I31" s="268"/>
      <c r="J31" s="155"/>
    </row>
    <row r="32" spans="1:10" ht="14.25">
      <c r="A32" s="399">
        <f>IF(AND(ISBLANK(Rinc1),ISBLANK(Rinc2),ISBLANK(Speccostspaid1),ISBLANK(Speccostspaid2),ISBLANK(Speccostspaidctr),ISBLANK(Radjccsminorch1),ISBLANK(Radjccsminorch2),ISBLANK(Radjcmsminorch1),ISBLANK(Radjcmsminorch2),ISBLANK(RadjccsCAS1),ISBLANK(RadjccsCAS2),ISBLANK(RadjcmsCAS1),ISBLANK(RadjcmsCAS2),ISBLANK(Ragcashchg1),ISBLANK(Ragcashchg2)),"","REBUTTAL")</f>
      </c>
      <c r="B32" s="399"/>
      <c r="C32" s="399"/>
      <c r="D32" s="399"/>
      <c r="E32" s="399"/>
      <c r="F32" s="399"/>
      <c r="G32" s="399"/>
      <c r="H32" s="399"/>
      <c r="I32" s="399"/>
      <c r="J32" s="399"/>
    </row>
    <row r="33" spans="1:10" ht="14.25">
      <c r="A33" s="268"/>
      <c r="B33" s="268"/>
      <c r="C33" s="268"/>
      <c r="D33" s="268"/>
      <c r="E33" s="268"/>
      <c r="F33" s="268"/>
      <c r="G33" s="268"/>
      <c r="H33" s="268"/>
      <c r="I33" s="268"/>
      <c r="J33" s="268"/>
    </row>
    <row r="34" spans="1:10" ht="31.5" customHeight="1">
      <c r="A34" s="400">
        <f>IF(REBUTTALTITLE="","","The guideline support obligation is unjust or inappropriate, as shown on the attached Rebuttal Worksheet. The following support amount is just and appropriate:")</f>
      </c>
      <c r="B34" s="400"/>
      <c r="C34" s="400"/>
      <c r="D34" s="400"/>
      <c r="E34" s="400"/>
      <c r="F34" s="400"/>
      <c r="G34" s="400"/>
      <c r="H34" s="400"/>
      <c r="I34" s="400"/>
      <c r="J34" s="400"/>
    </row>
    <row r="35" spans="1:10" ht="14.25">
      <c r="A35" s="268"/>
      <c r="B35" s="268"/>
      <c r="C35" s="268"/>
      <c r="D35" s="268"/>
      <c r="E35" s="268"/>
      <c r="F35" s="268"/>
      <c r="G35" s="268"/>
      <c r="H35" s="268"/>
      <c r="I35" s="268"/>
      <c r="J35" s="268"/>
    </row>
    <row r="36" spans="1:14" ht="15">
      <c r="A36" s="262">
        <f>IF(REBUTTALTITLE="","","The just and appropriate monthly support amount for ")</f>
      </c>
      <c r="B36" s="262"/>
      <c r="C36" s="262"/>
      <c r="D36" s="262"/>
      <c r="E36" s="390">
        <f>IF(RParentAUnderlines,pname1,"")</f>
      </c>
      <c r="F36" s="391"/>
      <c r="G36" s="263">
        <f>IF(RParentAUnderlines,"is:","")</f>
      </c>
      <c r="H36" s="263"/>
      <c r="I36" s="263"/>
      <c r="J36" s="268"/>
      <c r="N36" s="159" t="b">
        <f>IF(REBUTTALTITLE="",FALSE,TRUE)</f>
        <v>0</v>
      </c>
    </row>
    <row r="37" spans="1:10" ht="14.25">
      <c r="A37" s="268"/>
      <c r="B37" s="268"/>
      <c r="C37" s="268"/>
      <c r="D37" s="268"/>
      <c r="E37" s="268"/>
      <c r="F37" s="268"/>
      <c r="G37" s="268"/>
      <c r="H37" s="268"/>
      <c r="I37" s="268"/>
      <c r="J37" s="155"/>
    </row>
    <row r="38" spans="1:10" ht="14.25">
      <c r="A38" s="264"/>
      <c r="B38" s="265">
        <f>IF(REBUTTALTITLE="","","Support for the minor children")</f>
      </c>
      <c r="C38" s="265"/>
      <c r="D38" s="265"/>
      <c r="E38" s="265"/>
      <c r="F38" s="270"/>
      <c r="G38" s="265"/>
      <c r="H38" s="265"/>
      <c r="I38" s="266">
        <f>IF(RParentAUnderlines,"$","")</f>
      </c>
      <c r="J38" s="156">
        <f>IF(REBUTTALTITLE="","",IF(ISBLANK(Ragcashchg1),Radjustedccsminorch1,Ragccsminorch1))</f>
      </c>
    </row>
    <row r="39" spans="1:10" ht="14.25">
      <c r="A39" s="264"/>
      <c r="B39" s="265">
        <f>IF(REBUTTALTITLE="","","Support for the children attending school")</f>
      </c>
      <c r="C39" s="265"/>
      <c r="D39" s="265"/>
      <c r="E39" s="265"/>
      <c r="F39" s="265"/>
      <c r="G39" s="265"/>
      <c r="H39" s="265"/>
      <c r="I39" s="266">
        <f>IF(RParentAUnderlines,"$","")</f>
      </c>
      <c r="J39" s="155">
        <f>IF(REBUTTALTITLE="","",IF(ISBLANK(Ragcashchg1),RadjustedccsCAS1,RagccsCASch1))</f>
      </c>
    </row>
    <row r="40" spans="1:10" ht="14.25">
      <c r="A40" s="264"/>
      <c r="B40" s="265">
        <f>IF(REBUTTALTITLE="","","Cash medical support "&amp;IF(Rcmelection?="c","when not providing private health care coverage",""))</f>
      </c>
      <c r="C40" s="265"/>
      <c r="D40" s="265"/>
      <c r="E40" s="265"/>
      <c r="F40" s="265"/>
      <c r="G40" s="265"/>
      <c r="H40" s="265"/>
      <c r="I40" s="266">
        <f>IF(RParentAUnderlines,"$","")</f>
      </c>
      <c r="J40" s="155">
        <f>IF(REBUTTALTITLE="","",IF(OR(ISBLANK(Ragcashchg1),Ragcashchg1=0),Radjustedcmsminorch1+RadjustedcmsCAS1,Ragcmsminorch1+RagcmsCASch1))</f>
      </c>
    </row>
    <row r="41" spans="1:14" ht="14.25">
      <c r="A41" s="264"/>
      <c r="B41" s="265">
        <f>IF(REBUTTALTITLE="","","Private health care coverage for the children not to exceed")</f>
      </c>
      <c r="C41" s="265"/>
      <c r="D41" s="265"/>
      <c r="E41" s="265"/>
      <c r="F41" s="392">
        <f>IF(RParentAUnderlines,IF(RWhoWillProvide="","",IF(RWhoWillProvide=R_either_parent_when_available,P1_RPHCC_OR_ZERO,IF(ISERROR(SEARCH(pname1,RWhoWillProvide)),IF(ISERROR(SEARCH(pname2,RWhoWillProvide)),P1_RPHCC_OR_ZERO,"N/A"),P1_RPHCC_OR_ZERO))),"")</f>
      </c>
      <c r="G41" s="392"/>
      <c r="H41" s="271"/>
      <c r="I41" s="272"/>
      <c r="J41" s="155"/>
      <c r="N41" s="159">
        <f>IF(income1&lt;=minwage,0,RPHCC)</f>
        <v>0</v>
      </c>
    </row>
    <row r="42" spans="1:10" ht="14.25">
      <c r="A42" s="264"/>
      <c r="B42" s="389">
        <f>IF(REBUTTALTITLE="","",IF(RPrivateHCC="either parent when available","any time it becomes available",""))</f>
      </c>
      <c r="C42" s="389"/>
      <c r="D42" s="265"/>
      <c r="E42" s="265"/>
      <c r="F42" s="265"/>
      <c r="G42" s="265"/>
      <c r="H42" s="265"/>
      <c r="I42" s="265"/>
      <c r="J42" s="155"/>
    </row>
    <row r="43" spans="1:10" ht="14.25">
      <c r="A43" s="268"/>
      <c r="B43" s="268"/>
      <c r="C43" s="268"/>
      <c r="D43" s="268"/>
      <c r="E43" s="268"/>
      <c r="F43" s="268"/>
      <c r="G43" s="268"/>
      <c r="H43" s="268"/>
      <c r="I43" s="268"/>
      <c r="J43" s="155"/>
    </row>
    <row r="44" spans="1:10" ht="15">
      <c r="A44" s="264"/>
      <c r="B44" s="269"/>
      <c r="C44" s="397">
        <f>IF(REBUTTALTITLE="","","The just and appropriate total monthly support amount is:")</f>
      </c>
      <c r="D44" s="397"/>
      <c r="E44" s="397"/>
      <c r="F44" s="397"/>
      <c r="G44" s="397"/>
      <c r="H44" s="262"/>
      <c r="I44" s="266">
        <f>IF(RParentAUnderlines,"$","")</f>
      </c>
      <c r="J44" s="155">
        <f>IF(REBUTTALTITLE="","",IF(ISBLANK(Ragcashchg1),Rtotaladjcs1,Rtotalagcs1))</f>
      </c>
    </row>
    <row r="45" spans="1:10" ht="14.25">
      <c r="A45" s="268"/>
      <c r="B45" s="268"/>
      <c r="C45" s="268"/>
      <c r="D45" s="268"/>
      <c r="E45" s="268"/>
      <c r="F45" s="268"/>
      <c r="G45" s="268"/>
      <c r="H45" s="268"/>
      <c r="I45" s="268"/>
      <c r="J45" s="155"/>
    </row>
    <row r="46" spans="1:14" ht="15">
      <c r="A46" s="262">
        <f>IF(P2Title="","",IF(REBUTTALTITLE="","","The just and appropriate monthly support amount for "))</f>
      </c>
      <c r="B46" s="262"/>
      <c r="C46" s="262"/>
      <c r="D46" s="262"/>
      <c r="E46" s="390">
        <f>IF(RParentBUnderlines,pname2,"")</f>
      </c>
      <c r="F46" s="390"/>
      <c r="G46" s="263">
        <f>IF(RParentBUnderlines,"is:","")</f>
      </c>
      <c r="H46" s="263"/>
      <c r="I46" s="263"/>
      <c r="J46" s="155"/>
      <c r="N46" s="159" t="b">
        <f>IF(P2Title="",FALSE,IF(REBUTTALTITLE="",FALSE,TRUE))</f>
        <v>0</v>
      </c>
    </row>
    <row r="47" spans="1:10" ht="14.25">
      <c r="A47" s="268"/>
      <c r="B47" s="268"/>
      <c r="C47" s="268"/>
      <c r="D47" s="268"/>
      <c r="E47" s="268"/>
      <c r="F47" s="268"/>
      <c r="G47" s="268"/>
      <c r="H47" s="268"/>
      <c r="I47" s="268"/>
      <c r="J47" s="155"/>
    </row>
    <row r="48" spans="1:10" ht="14.25">
      <c r="A48" s="264"/>
      <c r="B48" s="265">
        <f>IF(P2Title="","",IF(REBUTTALTITLE="","","Support for the minor children"))</f>
      </c>
      <c r="C48" s="265"/>
      <c r="D48" s="265"/>
      <c r="E48" s="265"/>
      <c r="F48" s="265"/>
      <c r="G48" s="265"/>
      <c r="H48" s="265"/>
      <c r="I48" s="266">
        <f>IF(RParentBUnderlines,"$","")</f>
      </c>
      <c r="J48" s="155">
        <f>IF(P2Title="","",IF(REBUTTALTITLE="","",IF(ISBLANK(Ragcashchg2),Radjustedccsminorch2,Ragccsminorch2)))</f>
      </c>
    </row>
    <row r="49" spans="1:10" ht="14.25">
      <c r="A49" s="264"/>
      <c r="B49" s="265">
        <f>IF(P2Title="","",IF(REBUTTALTITLE="","","Support for the children attending school"))</f>
      </c>
      <c r="C49" s="265"/>
      <c r="D49" s="265"/>
      <c r="E49" s="265"/>
      <c r="F49" s="265"/>
      <c r="G49" s="265"/>
      <c r="H49" s="265"/>
      <c r="I49" s="266">
        <f>IF(RParentBUnderlines,"$","")</f>
      </c>
      <c r="J49" s="155">
        <f>IF(P2Title="","",IF(REBUTTALTITLE="","",IF(ISBLANK(Ragcashchg2),RadjustedccsCAS2,RagccsCASch2)))</f>
      </c>
    </row>
    <row r="50" spans="1:10" ht="14.25">
      <c r="A50" s="264"/>
      <c r="B50" s="265">
        <f>IF(P2Title="","",IF(REBUTTALTITLE="","","Cash medical support "&amp;IF(Rcmelection?="c","when not providing private health care coverage","")))</f>
      </c>
      <c r="C50" s="265"/>
      <c r="D50" s="265"/>
      <c r="E50" s="265"/>
      <c r="F50" s="265"/>
      <c r="G50" s="265"/>
      <c r="H50" s="265"/>
      <c r="I50" s="266">
        <f>IF(RParentBUnderlines,"$","")</f>
      </c>
      <c r="J50" s="155">
        <f>IF(P2Title="","",IF(REBUTTALTITLE="","",IF(OR(ISBLANK(Ragcashchg2),agcashchg2=0),Radjustedcmsminorch2+RadjustedcmsCAS2,Ragcmsminorch2+RagcmsCASch2)))</f>
      </c>
    </row>
    <row r="51" spans="1:14" ht="14.25">
      <c r="A51" s="264"/>
      <c r="B51" s="265">
        <f>IF(P2Title="","",IF(REBUTTALTITLE="","","Private health care coverage for the children not to exceed"))</f>
      </c>
      <c r="C51" s="265"/>
      <c r="D51" s="265"/>
      <c r="E51" s="265"/>
      <c r="F51" s="392">
        <f>IF(RParentBUnderlines,IF(RWhoWillProvide="","",IF(RWhoWillProvide=R_either_parent_when_available,P2_RPHCC_OR_ZERO,IF(ISERROR(SEARCH(pname2,RWhoWillProvide)),IF(ISERROR(SEARCH(pname1,RWhoWillProvide)),P2_RPHCC_OR_ZERO,"N/A"),P2_RPHCC_OR_ZERO))),"")</f>
      </c>
      <c r="G51" s="392"/>
      <c r="H51" s="265"/>
      <c r="I51" s="265"/>
      <c r="J51" s="155"/>
      <c r="N51" s="160">
        <f>IF(income2&lt;=minwage,0,RPHCC)</f>
        <v>0</v>
      </c>
    </row>
    <row r="52" spans="1:10" ht="14.25">
      <c r="A52" s="264"/>
      <c r="B52" s="389">
        <f>IF(P2Title="","",IF(REBUTTALTITLE="","",IF(RPrivateHCC="either parent when available","any time it becomes available","")))</f>
      </c>
      <c r="C52" s="389"/>
      <c r="D52" s="265"/>
      <c r="E52" s="265"/>
      <c r="F52" s="265"/>
      <c r="G52" s="265"/>
      <c r="H52" s="265"/>
      <c r="I52" s="265"/>
      <c r="J52" s="155"/>
    </row>
    <row r="53" spans="1:10" ht="14.25">
      <c r="A53" s="268"/>
      <c r="B53" s="268"/>
      <c r="C53" s="268"/>
      <c r="D53" s="268"/>
      <c r="E53" s="268"/>
      <c r="F53" s="268"/>
      <c r="G53" s="268"/>
      <c r="H53" s="268"/>
      <c r="I53" s="268"/>
      <c r="J53" s="155"/>
    </row>
    <row r="54" spans="1:10" ht="15">
      <c r="A54" s="264"/>
      <c r="B54" s="269"/>
      <c r="C54" s="397">
        <f>IF(P2Title="","",IF(REBUTTALTITLE="","","The just and appropriate total monthly support amount is:"))</f>
      </c>
      <c r="D54" s="397"/>
      <c r="E54" s="397"/>
      <c r="F54" s="397"/>
      <c r="G54" s="397"/>
      <c r="H54" s="262"/>
      <c r="I54" s="266">
        <f>IF(RParentBUnderlines,"$","")</f>
      </c>
      <c r="J54" s="155">
        <f>IF(P2Title="","",IF(REBUTTALTITLE="","",IF(ISBLANK(Ragcashchg2),Rtotaladjcs2,Rtotalagcs2)))</f>
      </c>
    </row>
  </sheetData>
  <sheetProtection password="8AB2" sheet="1"/>
  <mergeCells count="20">
    <mergeCell ref="C54:G54"/>
    <mergeCell ref="C29:E29"/>
    <mergeCell ref="C18:E18"/>
    <mergeCell ref="F41:G41"/>
    <mergeCell ref="D21:E21"/>
    <mergeCell ref="E46:F46"/>
    <mergeCell ref="B27:C27"/>
    <mergeCell ref="A32:J32"/>
    <mergeCell ref="A34:J34"/>
    <mergeCell ref="F26:G26"/>
    <mergeCell ref="B52:C52"/>
    <mergeCell ref="B42:C42"/>
    <mergeCell ref="E36:F36"/>
    <mergeCell ref="F51:G51"/>
    <mergeCell ref="A1:J1"/>
    <mergeCell ref="A2:C2"/>
    <mergeCell ref="F15:G15"/>
    <mergeCell ref="D10:E10"/>
    <mergeCell ref="C44:G44"/>
    <mergeCell ref="B16:C16"/>
  </mergeCells>
  <conditionalFormatting sqref="J23">
    <cfRule type="expression" priority="33" dxfId="19" stopIfTrue="1">
      <formula>$N$22</formula>
    </cfRule>
  </conditionalFormatting>
  <conditionalFormatting sqref="J24">
    <cfRule type="expression" priority="32" dxfId="19" stopIfTrue="1">
      <formula>$N$22</formula>
    </cfRule>
  </conditionalFormatting>
  <conditionalFormatting sqref="J25">
    <cfRule type="expression" priority="31" dxfId="19" stopIfTrue="1">
      <formula>$N$22</formula>
    </cfRule>
  </conditionalFormatting>
  <conditionalFormatting sqref="J29">
    <cfRule type="expression" priority="30" dxfId="19" stopIfTrue="1">
      <formula>$N$22</formula>
    </cfRule>
  </conditionalFormatting>
  <conditionalFormatting sqref="J39">
    <cfRule type="expression" priority="28" dxfId="19" stopIfTrue="1">
      <formula>$N$36</formula>
    </cfRule>
  </conditionalFormatting>
  <conditionalFormatting sqref="J40">
    <cfRule type="expression" priority="27" dxfId="19" stopIfTrue="1">
      <formula>$N$36</formula>
    </cfRule>
  </conditionalFormatting>
  <conditionalFormatting sqref="J38">
    <cfRule type="expression" priority="25" dxfId="19" stopIfTrue="1">
      <formula>$N$36</formula>
    </cfRule>
  </conditionalFormatting>
  <conditionalFormatting sqref="J44">
    <cfRule type="expression" priority="23" dxfId="19" stopIfTrue="1">
      <formula>$N$36</formula>
    </cfRule>
  </conditionalFormatting>
  <conditionalFormatting sqref="F41:G41">
    <cfRule type="expression" priority="21" dxfId="19" stopIfTrue="1">
      <formula>$N$36</formula>
    </cfRule>
  </conditionalFormatting>
  <conditionalFormatting sqref="J48">
    <cfRule type="expression" priority="20" dxfId="19" stopIfTrue="1">
      <formula>$N$46</formula>
    </cfRule>
  </conditionalFormatting>
  <conditionalFormatting sqref="J49">
    <cfRule type="expression" priority="19" dxfId="19" stopIfTrue="1">
      <formula>$N$46</formula>
    </cfRule>
  </conditionalFormatting>
  <conditionalFormatting sqref="J50">
    <cfRule type="expression" priority="18" dxfId="19" stopIfTrue="1">
      <formula>$N$46</formula>
    </cfRule>
  </conditionalFormatting>
  <conditionalFormatting sqref="J54">
    <cfRule type="expression" priority="17" dxfId="19" stopIfTrue="1">
      <formula>$N$46</formula>
    </cfRule>
  </conditionalFormatting>
  <conditionalFormatting sqref="D21:E21">
    <cfRule type="expression" priority="8" dxfId="19" stopIfTrue="1">
      <formula>$N$22</formula>
    </cfRule>
  </conditionalFormatting>
  <conditionalFormatting sqref="N46">
    <cfRule type="expression" priority="7" dxfId="4" stopIfTrue="1">
      <formula>$N$46</formula>
    </cfRule>
  </conditionalFormatting>
  <conditionalFormatting sqref="F51:G51">
    <cfRule type="expression" priority="6" dxfId="19" stopIfTrue="1">
      <formula>$N$46</formula>
    </cfRule>
  </conditionalFormatting>
  <conditionalFormatting sqref="E36:F36">
    <cfRule type="expression" priority="5" dxfId="19" stopIfTrue="1">
      <formula>$N$36</formula>
    </cfRule>
  </conditionalFormatting>
  <conditionalFormatting sqref="E46:F46">
    <cfRule type="expression" priority="4" dxfId="19" stopIfTrue="1">
      <formula>$N$46</formula>
    </cfRule>
  </conditionalFormatting>
  <conditionalFormatting sqref="F26:G26">
    <cfRule type="expression" priority="1" dxfId="20" stopIfTrue="1">
      <formula>$N$22</formula>
    </cfRule>
  </conditionalFormatting>
  <printOptions/>
  <pageMargins left="0.5" right="0.5" top="0.5" bottom="0.5" header="0" footer="0.25"/>
  <pageSetup fitToHeight="1" fitToWidth="1" horizontalDpi="600" verticalDpi="600" orientation="portrait" scale="91" r:id="rId2"/>
  <headerFooter alignWithMargins="0">
    <oddFooter>&amp;L&amp;7Page 1 of 1 - &amp;8CHILD SUPPORT CALCULATION SUMMARY (Excel version 4.3)
CSF 02 0910E (Rev. 07/01/13)</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Q111"/>
  <sheetViews>
    <sheetView showGridLines="0" showRowColHeaders="0" tabSelected="1" zoomScaleSheetLayoutView="85" workbookViewId="0" topLeftCell="A1">
      <selection activeCell="D10" sqref="D10"/>
    </sheetView>
  </sheetViews>
  <sheetFormatPr defaultColWidth="9.140625" defaultRowHeight="12.75"/>
  <cols>
    <col min="1" max="1" width="3.28125" style="86" customWidth="1"/>
    <col min="2" max="2" width="1.7109375" style="86" customWidth="1"/>
    <col min="3" max="3" width="64.57421875" style="320" customWidth="1"/>
    <col min="4" max="6" width="14.140625" style="23" customWidth="1"/>
    <col min="7" max="7" width="13.00390625" style="301" customWidth="1"/>
    <col min="8" max="8" width="28.421875" style="168" hidden="1" customWidth="1"/>
    <col min="9" max="9" width="62.7109375" style="168" hidden="1" customWidth="1"/>
    <col min="10" max="12" width="14.7109375" style="168" hidden="1" customWidth="1"/>
    <col min="13" max="16" width="9.140625" style="168" hidden="1" customWidth="1"/>
    <col min="17" max="17" width="9.140625" style="168" customWidth="1"/>
    <col min="18" max="16384" width="9.140625" style="23" customWidth="1"/>
  </cols>
  <sheetData>
    <row r="1" spans="1:13" ht="15.75">
      <c r="A1" s="424" t="s">
        <v>193</v>
      </c>
      <c r="B1" s="424"/>
      <c r="C1" s="425"/>
      <c r="D1" s="162"/>
      <c r="E1" s="169"/>
      <c r="F1" s="24"/>
      <c r="H1" s="170"/>
      <c r="I1" s="170"/>
      <c r="J1" s="170"/>
      <c r="K1" s="170"/>
      <c r="L1" s="170"/>
      <c r="M1" s="170"/>
    </row>
    <row r="2" spans="1:13" ht="15.75">
      <c r="A2" s="402" t="s">
        <v>295</v>
      </c>
      <c r="B2" s="402"/>
      <c r="C2" s="402"/>
      <c r="D2" s="162"/>
      <c r="E2" s="169"/>
      <c r="F2" s="24"/>
      <c r="H2" s="170"/>
      <c r="I2" s="170"/>
      <c r="J2" s="170"/>
      <c r="K2" s="170"/>
      <c r="L2" s="170"/>
      <c r="M2" s="170"/>
    </row>
    <row r="3" spans="1:13" ht="15.75">
      <c r="A3" s="132" t="s">
        <v>223</v>
      </c>
      <c r="B3" s="132"/>
      <c r="C3" s="317"/>
      <c r="D3" s="65"/>
      <c r="E3" s="65"/>
      <c r="F3" s="24"/>
      <c r="H3" s="170"/>
      <c r="I3" s="170"/>
      <c r="J3" s="170"/>
      <c r="K3" s="170"/>
      <c r="L3" s="170"/>
      <c r="M3" s="170"/>
    </row>
    <row r="4" spans="1:13" ht="14.25" customHeight="1">
      <c r="A4" s="132" t="s">
        <v>224</v>
      </c>
      <c r="B4" s="132"/>
      <c r="C4" s="318"/>
      <c r="D4" s="65"/>
      <c r="E4" s="65"/>
      <c r="F4" s="24"/>
      <c r="H4" s="170"/>
      <c r="I4" s="170"/>
      <c r="J4" s="170"/>
      <c r="K4" s="170"/>
      <c r="L4" s="170"/>
      <c r="M4" s="170"/>
    </row>
    <row r="5" spans="1:3" ht="13.5" customHeight="1">
      <c r="A5" s="460"/>
      <c r="B5" s="460"/>
      <c r="C5" s="460"/>
    </row>
    <row r="6" spans="1:4" ht="15.75">
      <c r="A6" s="411" t="s">
        <v>52</v>
      </c>
      <c r="B6" s="411"/>
      <c r="C6" s="411"/>
      <c r="D6" s="411"/>
    </row>
    <row r="7" spans="1:17" s="49" customFormat="1" ht="15">
      <c r="A7" s="408" t="s">
        <v>51</v>
      </c>
      <c r="B7" s="408"/>
      <c r="C7" s="408"/>
      <c r="D7" s="410"/>
      <c r="E7" s="410"/>
      <c r="F7" s="109"/>
      <c r="G7" s="302"/>
      <c r="H7" s="223"/>
      <c r="I7" s="223"/>
      <c r="J7" s="223"/>
      <c r="K7" s="223"/>
      <c r="L7" s="223"/>
      <c r="M7" s="223"/>
      <c r="N7" s="223"/>
      <c r="O7" s="223"/>
      <c r="P7" s="223"/>
      <c r="Q7" s="223"/>
    </row>
    <row r="8" spans="1:17" s="49" customFormat="1" ht="15">
      <c r="A8" s="408" t="s">
        <v>201</v>
      </c>
      <c r="B8" s="408"/>
      <c r="C8" s="408"/>
      <c r="D8" s="129"/>
      <c r="E8" s="129"/>
      <c r="F8" s="109"/>
      <c r="G8" s="302"/>
      <c r="H8" s="190"/>
      <c r="I8" s="190"/>
      <c r="J8" s="190"/>
      <c r="K8" s="190"/>
      <c r="L8" s="190"/>
      <c r="M8" s="190"/>
      <c r="N8" s="223"/>
      <c r="O8" s="223"/>
      <c r="P8" s="223"/>
      <c r="Q8" s="223"/>
    </row>
    <row r="9" spans="1:13" ht="14.25" customHeight="1">
      <c r="A9" s="450" t="s">
        <v>35</v>
      </c>
      <c r="B9" s="450"/>
      <c r="C9" s="450"/>
      <c r="D9" s="450"/>
      <c r="E9" s="450"/>
      <c r="F9" s="450"/>
      <c r="H9" s="170"/>
      <c r="I9" s="170"/>
      <c r="J9" s="170"/>
      <c r="K9" s="170"/>
      <c r="L9" s="170"/>
      <c r="M9" s="170"/>
    </row>
    <row r="10" spans="1:17" s="49" customFormat="1" ht="15">
      <c r="A10" s="84"/>
      <c r="B10" s="84"/>
      <c r="C10" s="318"/>
      <c r="D10" s="157" t="s">
        <v>290</v>
      </c>
      <c r="E10" s="158" t="s">
        <v>290</v>
      </c>
      <c r="G10" s="303" t="b">
        <f>nametest1</f>
        <v>1</v>
      </c>
      <c r="H10" s="287" t="b">
        <f>nametest2</f>
        <v>1</v>
      </c>
      <c r="I10" s="288" t="b">
        <f ca="1">AND(ISNUMBER(SUMPRODUCT(SEARCH(MID(pname1,ROW(INDIRECT("1:"&amp;LEN(pname1))),1),"abcdefghijklmnopqrstuvwxyz0123456789 -"))),LEN(pname1)&lt;16)</f>
        <v>1</v>
      </c>
      <c r="J10" s="289"/>
      <c r="K10" s="289"/>
      <c r="L10" s="190"/>
      <c r="M10" s="190"/>
      <c r="N10" s="223"/>
      <c r="O10" s="223"/>
      <c r="P10" s="223"/>
      <c r="Q10" s="223"/>
    </row>
    <row r="11" spans="1:17" s="49" customFormat="1" ht="13.5" customHeight="1">
      <c r="A11" s="84"/>
      <c r="B11" s="84"/>
      <c r="C11" s="319"/>
      <c r="D11" s="290" t="s">
        <v>291</v>
      </c>
      <c r="E11" s="157" t="s">
        <v>291</v>
      </c>
      <c r="F11" s="291"/>
      <c r="G11" s="191" t="s">
        <v>291</v>
      </c>
      <c r="H11" s="223" t="s">
        <v>291</v>
      </c>
      <c r="I11" s="288" t="b">
        <f ca="1">AND(ISNUMBER(SUMPRODUCT(SEARCH(MID(pname2,ROW(INDIRECT("1:"&amp;LEN(pname2))),1),"abcdefghijklmnopqrstuvwxyz0123456789 -"))),LEN(pname2)&lt;16)</f>
        <v>1</v>
      </c>
      <c r="J11" s="292"/>
      <c r="K11" s="292"/>
      <c r="L11" s="293"/>
      <c r="M11" s="190"/>
      <c r="N11" s="223"/>
      <c r="O11" s="223"/>
      <c r="P11" s="223"/>
      <c r="Q11" s="223"/>
    </row>
    <row r="12" spans="1:17" s="49" customFormat="1" ht="15">
      <c r="A12" s="313" t="s">
        <v>3</v>
      </c>
      <c r="B12" s="443" t="s">
        <v>36</v>
      </c>
      <c r="C12" s="444"/>
      <c r="D12" s="353"/>
      <c r="E12" s="354"/>
      <c r="F12" s="52"/>
      <c r="G12" s="191" t="s">
        <v>294</v>
      </c>
      <c r="H12" s="223" t="s">
        <v>294</v>
      </c>
      <c r="I12" s="294"/>
      <c r="J12" s="188"/>
      <c r="K12" s="188"/>
      <c r="L12" s="190"/>
      <c r="M12" s="190"/>
      <c r="N12" s="223"/>
      <c r="O12" s="223"/>
      <c r="P12" s="223"/>
      <c r="Q12" s="223"/>
    </row>
    <row r="13" spans="1:17" s="49" customFormat="1" ht="14.25" customHeight="1">
      <c r="A13" s="405" t="s">
        <v>19</v>
      </c>
      <c r="B13" s="443" t="s">
        <v>50</v>
      </c>
      <c r="C13" s="494"/>
      <c r="D13" s="75"/>
      <c r="E13" s="76"/>
      <c r="F13" s="52"/>
      <c r="G13" s="191" t="s">
        <v>293</v>
      </c>
      <c r="H13" s="223" t="s">
        <v>293</v>
      </c>
      <c r="I13" s="294"/>
      <c r="J13" s="295"/>
      <c r="K13" s="295"/>
      <c r="L13" s="190"/>
      <c r="M13" s="190"/>
      <c r="N13" s="223"/>
      <c r="O13" s="223"/>
      <c r="P13" s="223"/>
      <c r="Q13" s="223"/>
    </row>
    <row r="14" spans="1:17" s="49" customFormat="1" ht="14.25">
      <c r="A14" s="451"/>
      <c r="B14" s="492" t="s">
        <v>53</v>
      </c>
      <c r="C14" s="493"/>
      <c r="D14" s="353"/>
      <c r="E14" s="354"/>
      <c r="F14" s="52"/>
      <c r="G14" s="191" t="s">
        <v>292</v>
      </c>
      <c r="H14" s="223" t="s">
        <v>292</v>
      </c>
      <c r="I14" s="296"/>
      <c r="J14" s="188"/>
      <c r="K14" s="188"/>
      <c r="L14" s="190"/>
      <c r="M14" s="190"/>
      <c r="N14" s="223"/>
      <c r="O14" s="223"/>
      <c r="P14" s="223"/>
      <c r="Q14" s="223"/>
    </row>
    <row r="15" spans="1:17" s="49" customFormat="1" ht="15">
      <c r="A15" s="451"/>
      <c r="B15" s="492" t="s">
        <v>54</v>
      </c>
      <c r="C15" s="493"/>
      <c r="D15" s="353"/>
      <c r="E15" s="354"/>
      <c r="F15" s="52"/>
      <c r="G15" s="302"/>
      <c r="H15" s="187"/>
      <c r="I15" s="297"/>
      <c r="J15" s="188"/>
      <c r="K15" s="188"/>
      <c r="L15" s="190"/>
      <c r="M15" s="190"/>
      <c r="N15" s="223"/>
      <c r="O15" s="223"/>
      <c r="P15" s="223"/>
      <c r="Q15" s="223"/>
    </row>
    <row r="16" spans="1:17" s="49" customFormat="1" ht="15">
      <c r="A16" s="451"/>
      <c r="B16" s="492" t="s">
        <v>55</v>
      </c>
      <c r="C16" s="493"/>
      <c r="D16" s="353"/>
      <c r="E16" s="354"/>
      <c r="F16" s="52"/>
      <c r="G16" s="302"/>
      <c r="H16" s="187"/>
      <c r="I16" s="297"/>
      <c r="J16" s="188"/>
      <c r="K16" s="188"/>
      <c r="L16" s="190"/>
      <c r="M16" s="190"/>
      <c r="N16" s="223"/>
      <c r="O16" s="223"/>
      <c r="P16" s="223"/>
      <c r="Q16" s="223"/>
    </row>
    <row r="17" spans="1:17" s="49" customFormat="1" ht="15" customHeight="1">
      <c r="A17" s="451"/>
      <c r="B17" s="492" t="s">
        <v>56</v>
      </c>
      <c r="C17" s="493"/>
      <c r="D17" s="353"/>
      <c r="E17" s="354"/>
      <c r="F17" s="52"/>
      <c r="G17" s="302"/>
      <c r="H17" s="187"/>
      <c r="I17" s="297"/>
      <c r="J17" s="188"/>
      <c r="K17" s="188"/>
      <c r="L17" s="190"/>
      <c r="M17" s="190"/>
      <c r="N17" s="223"/>
      <c r="O17" s="223"/>
      <c r="P17" s="223"/>
      <c r="Q17" s="223"/>
    </row>
    <row r="18" spans="1:17" s="49" customFormat="1" ht="15">
      <c r="A18" s="406"/>
      <c r="B18" s="454" t="s">
        <v>38</v>
      </c>
      <c r="C18" s="455"/>
      <c r="D18" s="355">
        <f>ROUND(income1+spousalplus1-spousalminus1-uniondues1-parentpremium1,2)</f>
        <v>0</v>
      </c>
      <c r="E18" s="356">
        <f>ROUND(income2+spousalplus2-spousalminus2-uniondues2-parentpremium2,2)</f>
        <v>0</v>
      </c>
      <c r="F18" s="298"/>
      <c r="G18" s="304"/>
      <c r="H18" s="187"/>
      <c r="I18" s="299"/>
      <c r="J18" s="188"/>
      <c r="K18" s="188"/>
      <c r="L18" s="190"/>
      <c r="M18" s="190"/>
      <c r="N18" s="223"/>
      <c r="O18" s="223"/>
      <c r="P18" s="223"/>
      <c r="Q18" s="223"/>
    </row>
    <row r="19" spans="1:17" s="49" customFormat="1" ht="31.5" customHeight="1">
      <c r="A19" s="313" t="s">
        <v>20</v>
      </c>
      <c r="B19" s="443" t="s">
        <v>89</v>
      </c>
      <c r="C19" s="444"/>
      <c r="D19" s="351"/>
      <c r="E19" s="352"/>
      <c r="G19" s="250"/>
      <c r="H19" s="187"/>
      <c r="I19" s="283"/>
      <c r="J19" s="196"/>
      <c r="K19" s="196"/>
      <c r="L19" s="190"/>
      <c r="M19" s="190"/>
      <c r="N19" s="223"/>
      <c r="O19" s="223"/>
      <c r="P19" s="223"/>
      <c r="Q19" s="223"/>
    </row>
    <row r="20" spans="1:17" s="49" customFormat="1" ht="15" customHeight="1">
      <c r="A20" s="405" t="s">
        <v>21</v>
      </c>
      <c r="B20" s="452" t="s">
        <v>318</v>
      </c>
      <c r="C20" s="453"/>
      <c r="D20" s="466"/>
      <c r="E20" s="467"/>
      <c r="F20" s="112" t="s">
        <v>97</v>
      </c>
      <c r="G20" s="409"/>
      <c r="H20" s="187"/>
      <c r="I20" s="283"/>
      <c r="J20" s="295"/>
      <c r="K20" s="295"/>
      <c r="L20" s="192"/>
      <c r="M20" s="190"/>
      <c r="N20" s="223"/>
      <c r="O20" s="223"/>
      <c r="P20" s="223"/>
      <c r="Q20" s="223"/>
    </row>
    <row r="21" spans="1:17" s="49" customFormat="1" ht="15">
      <c r="A21" s="406"/>
      <c r="B21" s="454"/>
      <c r="C21" s="455"/>
      <c r="D21" s="468"/>
      <c r="E21" s="469"/>
      <c r="F21" s="465">
        <f>+jointminorch+jointCAS</f>
        <v>0</v>
      </c>
      <c r="G21" s="409"/>
      <c r="H21" s="187"/>
      <c r="I21" s="283"/>
      <c r="J21" s="295"/>
      <c r="K21" s="295"/>
      <c r="L21" s="192"/>
      <c r="M21" s="190"/>
      <c r="N21" s="223"/>
      <c r="O21" s="223"/>
      <c r="P21" s="223"/>
      <c r="Q21" s="223"/>
    </row>
    <row r="22" spans="1:17" s="49" customFormat="1" ht="31.5" customHeight="1">
      <c r="A22" s="313" t="s">
        <v>22</v>
      </c>
      <c r="B22" s="443" t="s">
        <v>296</v>
      </c>
      <c r="C22" s="444"/>
      <c r="D22" s="463"/>
      <c r="E22" s="464"/>
      <c r="F22" s="465"/>
      <c r="G22" s="409"/>
      <c r="H22" s="187"/>
      <c r="I22" s="283"/>
      <c r="J22" s="193"/>
      <c r="K22" s="188"/>
      <c r="L22" s="188"/>
      <c r="M22" s="190"/>
      <c r="N22" s="223"/>
      <c r="O22" s="223"/>
      <c r="P22" s="223"/>
      <c r="Q22" s="223"/>
    </row>
    <row r="23" spans="1:17" s="49" customFormat="1" ht="60" customHeight="1">
      <c r="A23" s="313" t="s">
        <v>23</v>
      </c>
      <c r="B23" s="443" t="s">
        <v>118</v>
      </c>
      <c r="C23" s="444"/>
      <c r="D23" s="110">
        <f>+addch1+children</f>
        <v>0</v>
      </c>
      <c r="E23" s="111">
        <f>+addch2+children</f>
        <v>0</v>
      </c>
      <c r="G23" s="305"/>
      <c r="H23" s="187"/>
      <c r="I23" s="283"/>
      <c r="J23" s="200"/>
      <c r="K23" s="200"/>
      <c r="L23" s="190"/>
      <c r="M23" s="190"/>
      <c r="N23" s="223"/>
      <c r="O23" s="223"/>
      <c r="P23" s="223"/>
      <c r="Q23" s="223"/>
    </row>
    <row r="24" spans="1:17" s="49" customFormat="1" ht="72.75" customHeight="1">
      <c r="A24" s="313" t="s">
        <v>57</v>
      </c>
      <c r="B24" s="456" t="s">
        <v>280</v>
      </c>
      <c r="C24" s="457"/>
      <c r="D24" s="357">
        <f>IF(totalch1&gt;0,ROUND(VLOOKUP(incomeplusminus1,scale,MIN(totalch1+1,11),TRUE)/totalch1*addch1,2),0)</f>
        <v>0</v>
      </c>
      <c r="E24" s="357">
        <f>IF(totalch2&gt;0,ROUND(VLOOKUP(incomeplusminus2,scale,MIN(totalch2+1,11),TRUE)/totalch2*addch2,2),0)</f>
        <v>0</v>
      </c>
      <c r="F24" s="52"/>
      <c r="G24" s="302"/>
      <c r="H24" s="187"/>
      <c r="I24" s="283"/>
      <c r="J24" s="200"/>
      <c r="K24" s="200"/>
      <c r="L24" s="190"/>
      <c r="M24" s="190"/>
      <c r="N24" s="223"/>
      <c r="O24" s="223"/>
      <c r="P24" s="223"/>
      <c r="Q24" s="223"/>
    </row>
    <row r="25" spans="1:17" s="49" customFormat="1" ht="15" customHeight="1">
      <c r="A25" s="405" t="s">
        <v>58</v>
      </c>
      <c r="B25" s="452" t="s">
        <v>205</v>
      </c>
      <c r="C25" s="453"/>
      <c r="D25" s="461">
        <f>IF(incomeplusminus1-addchded1&lt;0,0,incomeplusminus1-addchded1)</f>
        <v>0</v>
      </c>
      <c r="E25" s="461">
        <f>IF(incomeplusminus2-addchded2&lt;0,0,incomeplusminus2-addchded2)</f>
        <v>0</v>
      </c>
      <c r="F25" s="112" t="s">
        <v>97</v>
      </c>
      <c r="G25" s="302"/>
      <c r="H25" s="187"/>
      <c r="I25" s="283"/>
      <c r="J25" s="200"/>
      <c r="K25" s="200"/>
      <c r="L25" s="190"/>
      <c r="M25" s="190"/>
      <c r="N25" s="223"/>
      <c r="O25" s="223"/>
      <c r="P25" s="223"/>
      <c r="Q25" s="223"/>
    </row>
    <row r="26" spans="1:17" s="49" customFormat="1" ht="44.25" customHeight="1">
      <c r="A26" s="451"/>
      <c r="B26" s="454"/>
      <c r="C26" s="455"/>
      <c r="D26" s="462"/>
      <c r="E26" s="462"/>
      <c r="F26" s="358">
        <f>+adjusted1+adjusted2</f>
        <v>0</v>
      </c>
      <c r="G26" s="302"/>
      <c r="H26" s="187"/>
      <c r="I26" s="283"/>
      <c r="J26" s="200"/>
      <c r="K26" s="200"/>
      <c r="L26" s="190"/>
      <c r="M26" s="190"/>
      <c r="N26" s="223"/>
      <c r="O26" s="223"/>
      <c r="P26" s="223"/>
      <c r="Q26" s="223"/>
    </row>
    <row r="27" spans="1:17" s="49" customFormat="1" ht="31.5" customHeight="1">
      <c r="A27" s="313" t="s">
        <v>59</v>
      </c>
      <c r="B27" s="443" t="s">
        <v>119</v>
      </c>
      <c r="C27" s="444"/>
      <c r="D27" s="115">
        <f>IF(adjustedC&gt;0,ROUND(adjusted1/adjustedC,4),0)</f>
        <v>0</v>
      </c>
      <c r="E27" s="115">
        <f>IF(adjustedC&gt;0,ROUND(adjusted2/adjustedC,4),0)</f>
        <v>0</v>
      </c>
      <c r="F27" s="52"/>
      <c r="G27" s="302"/>
      <c r="H27" s="187"/>
      <c r="I27" s="283"/>
      <c r="J27" s="200"/>
      <c r="K27" s="200"/>
      <c r="L27" s="190"/>
      <c r="M27" s="190"/>
      <c r="N27" s="223"/>
      <c r="O27" s="223"/>
      <c r="P27" s="223"/>
      <c r="Q27" s="223"/>
    </row>
    <row r="28" spans="1:17" s="49" customFormat="1" ht="45.75" customHeight="1">
      <c r="A28" s="313" t="s">
        <v>60</v>
      </c>
      <c r="B28" s="443" t="s">
        <v>370</v>
      </c>
      <c r="C28" s="444"/>
      <c r="D28" s="355">
        <f>IF(adjusted1-SSR&lt;0,0,ROUND(adjusted1-SSR,2))</f>
        <v>0</v>
      </c>
      <c r="E28" s="356">
        <f>IF(adjusted2-SSR&lt;0,0,ROUND(adjusted2-SSR,2))</f>
        <v>0</v>
      </c>
      <c r="F28" s="52"/>
      <c r="G28" s="302"/>
      <c r="H28" s="187"/>
      <c r="I28" s="283"/>
      <c r="J28" s="200"/>
      <c r="K28" s="200"/>
      <c r="L28" s="190"/>
      <c r="M28" s="190"/>
      <c r="N28" s="223"/>
      <c r="O28" s="223"/>
      <c r="P28" s="223"/>
      <c r="Q28" s="223"/>
    </row>
    <row r="29" spans="1:17" s="49" customFormat="1" ht="12" customHeight="1">
      <c r="A29" s="95"/>
      <c r="B29" s="95"/>
      <c r="C29" s="96"/>
      <c r="D29" s="300"/>
      <c r="E29" s="300"/>
      <c r="F29" s="52"/>
      <c r="G29" s="302"/>
      <c r="H29" s="187"/>
      <c r="I29" s="283"/>
      <c r="J29" s="200"/>
      <c r="K29" s="200"/>
      <c r="L29" s="190"/>
      <c r="M29" s="190"/>
      <c r="N29" s="223"/>
      <c r="O29" s="223"/>
      <c r="P29" s="223"/>
      <c r="Q29" s="223"/>
    </row>
    <row r="30" spans="1:13" ht="15.75">
      <c r="A30" s="403" t="s">
        <v>61</v>
      </c>
      <c r="B30" s="403"/>
      <c r="C30" s="403"/>
      <c r="D30" s="403"/>
      <c r="E30" s="403"/>
      <c r="F30" s="32"/>
      <c r="H30" s="418"/>
      <c r="I30" s="418"/>
      <c r="J30" s="418"/>
      <c r="K30" s="418"/>
      <c r="L30" s="186"/>
      <c r="M30" s="170"/>
    </row>
    <row r="31" spans="1:14" ht="15.75" customHeight="1">
      <c r="A31" s="405" t="s">
        <v>4</v>
      </c>
      <c r="B31" s="484" t="s">
        <v>319</v>
      </c>
      <c r="C31" s="485"/>
      <c r="D31" s="485"/>
      <c r="E31" s="486"/>
      <c r="F31" s="112" t="s">
        <v>97</v>
      </c>
      <c r="H31" s="177"/>
      <c r="I31" s="183"/>
      <c r="J31" s="170"/>
      <c r="K31" s="170"/>
      <c r="L31" s="224"/>
      <c r="M31" s="170"/>
      <c r="N31" s="171"/>
    </row>
    <row r="32" spans="1:14" ht="30" customHeight="1">
      <c r="A32" s="406"/>
      <c r="B32" s="487"/>
      <c r="C32" s="488"/>
      <c r="D32" s="488"/>
      <c r="E32" s="489"/>
      <c r="F32" s="357">
        <f>ROUND(VLOOKUP(adjustedC,scale,MIN(11,children+1),TRUE),2)</f>
        <v>0</v>
      </c>
      <c r="H32" s="177"/>
      <c r="I32" s="183"/>
      <c r="J32" s="170"/>
      <c r="K32" s="170"/>
      <c r="L32" s="224"/>
      <c r="M32" s="170"/>
      <c r="N32" s="171"/>
    </row>
    <row r="33" spans="1:14" ht="15.75" customHeight="1">
      <c r="A33" s="405" t="s">
        <v>18</v>
      </c>
      <c r="B33" s="452" t="s">
        <v>120</v>
      </c>
      <c r="C33" s="453"/>
      <c r="D33" s="163" t="str">
        <f>+IF(ISBLANK(pname1),"",pname1)</f>
        <v>name</v>
      </c>
      <c r="E33" s="163" t="str">
        <f>+IF(ISBLANK(pname2),"",pname2)</f>
        <v>name</v>
      </c>
      <c r="F33" s="42"/>
      <c r="H33" s="177"/>
      <c r="I33" s="183"/>
      <c r="J33" s="170"/>
      <c r="K33" s="170"/>
      <c r="L33" s="224"/>
      <c r="M33" s="170"/>
      <c r="N33" s="171"/>
    </row>
    <row r="34" spans="1:13" ht="44.25" customHeight="1">
      <c r="A34" s="406"/>
      <c r="B34" s="454"/>
      <c r="C34" s="455"/>
      <c r="D34" s="359">
        <f>+IF(basicC*incpct1&lt;available1,ROUND(basicC*incpct1,2),available1)</f>
        <v>0</v>
      </c>
      <c r="E34" s="360">
        <f>+IF(basicC*incpct2&lt;available2,ROUND(basicC*incpct2,2),available2)</f>
        <v>0</v>
      </c>
      <c r="F34" s="26"/>
      <c r="H34" s="177"/>
      <c r="I34" s="449"/>
      <c r="J34" s="449"/>
      <c r="K34" s="449"/>
      <c r="L34" s="226"/>
      <c r="M34" s="170"/>
    </row>
    <row r="35" spans="8:13" ht="9.75" customHeight="1">
      <c r="H35" s="177"/>
      <c r="I35" s="173"/>
      <c r="J35" s="170"/>
      <c r="K35" s="170"/>
      <c r="L35" s="170"/>
      <c r="M35" s="170"/>
    </row>
    <row r="36" spans="1:13" ht="15.75">
      <c r="A36" s="404" t="s">
        <v>62</v>
      </c>
      <c r="B36" s="404"/>
      <c r="C36" s="404"/>
      <c r="D36" s="404"/>
      <c r="E36" s="404"/>
      <c r="F36" s="33"/>
      <c r="G36" s="306"/>
      <c r="H36" s="418"/>
      <c r="I36" s="418"/>
      <c r="J36" s="418"/>
      <c r="K36" s="418"/>
      <c r="L36" s="227"/>
      <c r="M36" s="170"/>
    </row>
    <row r="37" spans="1:13" ht="15.75">
      <c r="A37" s="87"/>
      <c r="B37" s="87"/>
      <c r="C37" s="87"/>
      <c r="D37" s="163" t="str">
        <f>+IF(ISBLANK(pname1),"",pname1)</f>
        <v>name</v>
      </c>
      <c r="E37" s="163" t="str">
        <f>+IF(ISBLANK(pname2),"",pname2)</f>
        <v>name</v>
      </c>
      <c r="F37" s="133" t="s">
        <v>206</v>
      </c>
      <c r="G37" s="306"/>
      <c r="H37" s="407"/>
      <c r="I37" s="407"/>
      <c r="J37" s="407"/>
      <c r="K37" s="407"/>
      <c r="L37" s="176"/>
      <c r="M37" s="170"/>
    </row>
    <row r="38" spans="1:13" ht="57.75" customHeight="1">
      <c r="A38" s="313" t="s">
        <v>5</v>
      </c>
      <c r="B38" s="443" t="s">
        <v>102</v>
      </c>
      <c r="C38" s="444"/>
      <c r="D38" s="353"/>
      <c r="E38" s="353"/>
      <c r="F38" s="354"/>
      <c r="G38" s="306"/>
      <c r="H38" s="177"/>
      <c r="I38" s="183"/>
      <c r="J38" s="225"/>
      <c r="K38" s="225"/>
      <c r="L38" s="228"/>
      <c r="M38" s="170"/>
    </row>
    <row r="39" spans="1:13" ht="45" customHeight="1">
      <c r="A39" s="313" t="s">
        <v>6</v>
      </c>
      <c r="B39" s="443" t="s">
        <v>207</v>
      </c>
      <c r="C39" s="444"/>
      <c r="D39" s="361">
        <f>+available1-basicSSR1</f>
        <v>0</v>
      </c>
      <c r="E39" s="361">
        <f>+available2-basicSSR2</f>
        <v>0</v>
      </c>
      <c r="F39" s="77"/>
      <c r="G39" s="248"/>
      <c r="H39" s="177"/>
      <c r="I39" s="183"/>
      <c r="J39" s="179"/>
      <c r="K39" s="179"/>
      <c r="L39" s="229"/>
      <c r="M39" s="170"/>
    </row>
    <row r="40" spans="1:13" ht="15.75" customHeight="1">
      <c r="A40" s="405" t="s">
        <v>63</v>
      </c>
      <c r="B40" s="452" t="s">
        <v>298</v>
      </c>
      <c r="C40" s="453"/>
      <c r="D40" s="439">
        <f>IF(incpct1*(ccoop1+ccoop2+ccoopctr)&lt;incavailableccc1,incpct1*(ccoop1+ccoop2+ccoopctr),incavailableccc1)</f>
        <v>0</v>
      </c>
      <c r="E40" s="439">
        <f>IF(incpct2*(ccoop1+ccoop2+ccoopctr)&lt;incavailableccc2,incpct2*(ccoop1+ccoop2+ccoopctr),incavailableccc2)</f>
        <v>0</v>
      </c>
      <c r="F40" s="93"/>
      <c r="G40" s="248"/>
      <c r="H40" s="177"/>
      <c r="I40" s="183"/>
      <c r="J40" s="179"/>
      <c r="K40" s="179"/>
      <c r="L40" s="229"/>
      <c r="M40" s="170"/>
    </row>
    <row r="41" spans="1:13" ht="42" customHeight="1">
      <c r="A41" s="406"/>
      <c r="B41" s="454"/>
      <c r="C41" s="455"/>
      <c r="D41" s="440"/>
      <c r="E41" s="440"/>
      <c r="F41" s="94"/>
      <c r="G41" s="248"/>
      <c r="H41" s="177"/>
      <c r="I41" s="183"/>
      <c r="J41" s="179"/>
      <c r="K41" s="179"/>
      <c r="L41" s="229"/>
      <c r="M41" s="170"/>
    </row>
    <row r="42" spans="1:17" s="83" customFormat="1" ht="30" customHeight="1">
      <c r="A42" s="313" t="s">
        <v>64</v>
      </c>
      <c r="B42" s="443" t="s">
        <v>121</v>
      </c>
      <c r="C42" s="444"/>
      <c r="D42" s="359">
        <f>+ROUND(ccoopshare1+basicSSR1,2)</f>
        <v>0</v>
      </c>
      <c r="E42" s="360">
        <f>+ROUND(ccoopshare2+basicSSR2,2)</f>
        <v>0</v>
      </c>
      <c r="F42" s="82"/>
      <c r="G42" s="249"/>
      <c r="H42" s="177"/>
      <c r="I42" s="183"/>
      <c r="J42" s="230"/>
      <c r="K42" s="230"/>
      <c r="L42" s="231"/>
      <c r="M42" s="172"/>
      <c r="N42" s="232"/>
      <c r="O42" s="232"/>
      <c r="P42" s="232"/>
      <c r="Q42" s="232"/>
    </row>
    <row r="43" spans="8:13" ht="12" customHeight="1">
      <c r="H43" s="177"/>
      <c r="I43" s="173"/>
      <c r="J43" s="170"/>
      <c r="K43" s="170"/>
      <c r="L43" s="170"/>
      <c r="M43" s="170"/>
    </row>
    <row r="44" spans="1:13" ht="15.75">
      <c r="A44" s="432" t="s">
        <v>79</v>
      </c>
      <c r="B44" s="432"/>
      <c r="C44" s="432"/>
      <c r="D44" s="432"/>
      <c r="E44" s="432"/>
      <c r="F44" s="66"/>
      <c r="H44" s="170"/>
      <c r="I44" s="170"/>
      <c r="J44" s="170"/>
      <c r="K44" s="170"/>
      <c r="L44" s="170"/>
      <c r="M44" s="170"/>
    </row>
    <row r="45" spans="1:16" ht="15">
      <c r="A45" s="87"/>
      <c r="B45" s="87"/>
      <c r="C45" s="87"/>
      <c r="D45" s="163" t="str">
        <f>+IF(ISBLANK(pname1),"",pname1)</f>
        <v>name</v>
      </c>
      <c r="E45" s="163" t="str">
        <f>+IF(ISBLANK(pname2),"",pname2)</f>
        <v>name</v>
      </c>
      <c r="F45" s="134"/>
      <c r="G45" s="167" t="b">
        <f>NOT(ISNUMBER(premium1))</f>
        <v>1</v>
      </c>
      <c r="H45" s="167" t="b">
        <f>NOT(ISNUMBER(premium2))</f>
        <v>1</v>
      </c>
      <c r="I45" s="427" t="s">
        <v>225</v>
      </c>
      <c r="J45" s="427"/>
      <c r="K45" s="427"/>
      <c r="L45" s="234"/>
      <c r="M45" s="233"/>
      <c r="N45" s="203"/>
      <c r="O45" s="203"/>
      <c r="P45" s="203"/>
    </row>
    <row r="46" spans="1:16" ht="45.75" customHeight="1">
      <c r="A46" s="313" t="s">
        <v>7</v>
      </c>
      <c r="B46" s="443" t="s">
        <v>299</v>
      </c>
      <c r="C46" s="444"/>
      <c r="D46" s="362"/>
      <c r="E46" s="362"/>
      <c r="F46" s="135"/>
      <c r="G46" s="167" t="b">
        <f>IF(ISNUMBER(premium1),premium1&gt;=0,OR(UPPER(premium1)="NONE",premium1=""))</f>
        <v>1</v>
      </c>
      <c r="H46" s="167" t="b">
        <f>IF(ISNUMBER(premium2),premium2&gt;=0,OR(UPPER(premium2)="NONE",premium2=""))</f>
        <v>1</v>
      </c>
      <c r="I46" s="205" t="s">
        <v>191</v>
      </c>
      <c r="J46" s="203"/>
      <c r="K46" s="204" t="b">
        <f>IF(NOT(ISNUMBER(premium1)),FALSE,AND(OR(income1&gt;minwage,premium1=0),OR(premium1&lt;=ricTotal,compellingfactors?="Yes")))</f>
        <v>0</v>
      </c>
      <c r="L46" s="204" t="b">
        <f>IF(NOT(ISNUMBER(premium2)),FALSE,AND(OR(income2&gt;minwage,premium2=0),OR(premium2&lt;=ricTotal,compellingfactors?="Yes")))</f>
        <v>0</v>
      </c>
      <c r="M46" s="203"/>
      <c r="N46" s="203"/>
      <c r="O46" s="203"/>
      <c r="P46" s="203"/>
    </row>
    <row r="47" spans="1:13" ht="45.75" customHeight="1">
      <c r="A47" s="145" t="s">
        <v>8</v>
      </c>
      <c r="B47" s="443" t="s">
        <v>194</v>
      </c>
      <c r="C47" s="444"/>
      <c r="D47" s="361">
        <f>+available1-CSafterCCC1</f>
        <v>0</v>
      </c>
      <c r="E47" s="361">
        <f>+available2-CSafterCCC2</f>
        <v>0</v>
      </c>
      <c r="F47" s="71"/>
      <c r="G47" s="188"/>
      <c r="H47" s="206" t="s">
        <v>182</v>
      </c>
      <c r="I47" s="207" t="s">
        <v>183</v>
      </c>
      <c r="J47" s="207" t="s">
        <v>184</v>
      </c>
      <c r="K47" s="207" t="s">
        <v>185</v>
      </c>
      <c r="L47" s="207" t="s">
        <v>186</v>
      </c>
      <c r="M47" s="207" t="s">
        <v>357</v>
      </c>
    </row>
    <row r="48" spans="1:13" ht="15.75" customHeight="1">
      <c r="A48" s="405" t="s">
        <v>24</v>
      </c>
      <c r="B48" s="445" t="s">
        <v>364</v>
      </c>
      <c r="C48" s="446"/>
      <c r="D48" s="441">
        <f>IF(income1&gt;minwage,ROUND(IF(adjusted1*0.04&lt;incavailHCC1,adjusted1*0.04,incavailHCC1),0),0)</f>
        <v>0</v>
      </c>
      <c r="E48" s="441">
        <f>IF(income2&gt;minwage,ROUND(IF(adjusted2*0.04&lt;incavailHCC2,adjusted2*0.04,incavailHCC2),0),0)</f>
        <v>0</v>
      </c>
      <c r="F48" s="310" t="s">
        <v>97</v>
      </c>
      <c r="H48" s="206" t="s">
        <v>187</v>
      </c>
      <c r="I48" s="204" t="b">
        <f>IF(OR(NOT(ISNUMBER(premium1)),NOT(ISNUMBER(premium2))),FALSE,AND(OR(income1&gt;minwage,premium1=0),OR(income2&gt;minwage,premium2=0),OR(premium1+premium2&lt;=ricTotal,compellingfactors?="Yes")))</f>
        <v>0</v>
      </c>
      <c r="J48" s="204" t="b">
        <f>IF(OR(NOT(ISNUMBER(premium1)),NOT(ISNUMBER(premium2))),FALSE,AND(OR(AND(ISNUMBER(premium1),OR(AND(income1&gt;minwage,premium1&lt;=ricTotal),premium1=0))),OR(AND(ISNUMBER(premium2),OR(AND(income2&gt;minwage,premium2&lt;=ricTotal),premium2=0)))))</f>
        <v>0</v>
      </c>
      <c r="K48" s="204" t="b">
        <f>IF(NOT(ISNUMBER(premium1)),FALSE,AND(OR(income1&gt;minwage,premium1=0),OR(premium1&lt;=ricTotal,compellingfactors?="Yes")))</f>
        <v>0</v>
      </c>
      <c r="L48" s="204" t="b">
        <f>IF(NOT(ISNUMBER(premium2)),FALSE,AND(OR(income2&gt;minwage,premium2=0),OR(premium2&lt;=ricTotal,compellingfactors?="Yes")))</f>
        <v>0</v>
      </c>
      <c r="M48" s="204" t="b">
        <f>ABS(K48+L48)=0</f>
        <v>1</v>
      </c>
    </row>
    <row r="49" spans="1:14" ht="69" customHeight="1">
      <c r="A49" s="406"/>
      <c r="B49" s="447"/>
      <c r="C49" s="448"/>
      <c r="D49" s="442"/>
      <c r="E49" s="442"/>
      <c r="F49" s="363">
        <f>+ROUND(rincost2+rincost1,0)</f>
        <v>0</v>
      </c>
      <c r="H49" s="206" t="s">
        <v>188</v>
      </c>
      <c r="I49" s="204">
        <f>IF(I48,pname1&amp;" and "&amp;pname2,"")</f>
      </c>
      <c r="J49" s="204">
        <f>IF(J48,pname1&amp;" or "&amp;pname2,"")</f>
      </c>
      <c r="K49" s="204">
        <f>IF(K48,pname1,"")</f>
      </c>
      <c r="L49" s="204">
        <f>IF(L48,pname2,"")</f>
      </c>
      <c r="M49" s="204" t="str">
        <f>IF(M48,either_parent_when_available,"")</f>
        <v>Either parent when available</v>
      </c>
      <c r="N49" s="168" t="s">
        <v>359</v>
      </c>
    </row>
    <row r="50" spans="1:14" ht="87" customHeight="1" thickBot="1">
      <c r="A50" s="313" t="s">
        <v>25</v>
      </c>
      <c r="B50" s="422" t="s">
        <v>362</v>
      </c>
      <c r="C50" s="423"/>
      <c r="D50" s="433" t="str">
        <f>IF(LEN(Both_Can_Provide)&gt;0,Both_Can_Provide,IF(LEN(Either_Can_Provide)&gt;0,Either_Can_Provide,IF(LEN(ParentA_Can_Provide)&gt;0,ParentA_Can_Provide,IF(LEN(ParentB_Can_Provide)&gt;0,ParentB_Can_Provide,"Neither parent"))))</f>
        <v>Neither parent</v>
      </c>
      <c r="E50" s="433"/>
      <c r="F50" s="433"/>
      <c r="H50" s="206" t="s">
        <v>189</v>
      </c>
      <c r="I50" s="204">
        <f>I49</f>
      </c>
      <c r="J50" s="208"/>
      <c r="K50" s="209">
        <f>K49</f>
      </c>
      <c r="L50" s="209">
        <f>L49</f>
      </c>
      <c r="M50" s="204" t="str">
        <f>M49</f>
        <v>Either parent when available</v>
      </c>
      <c r="N50" s="210" t="s">
        <v>192</v>
      </c>
    </row>
    <row r="51" spans="1:16" ht="87" customHeight="1" thickBot="1">
      <c r="A51" s="313" t="s">
        <v>26</v>
      </c>
      <c r="B51" s="422" t="s">
        <v>363</v>
      </c>
      <c r="C51" s="423"/>
      <c r="D51" s="426" t="s">
        <v>358</v>
      </c>
      <c r="E51" s="426"/>
      <c r="F51" s="426"/>
      <c r="G51" s="307"/>
      <c r="H51" s="206" t="s">
        <v>190</v>
      </c>
      <c r="I51" s="211"/>
      <c r="J51" s="348" t="str">
        <f>IF(L50="",IF(K50="",M50,K50),L50)</f>
        <v>Either parent when available</v>
      </c>
      <c r="K51" s="213">
        <f>IF(AND(L50="",K50=""),"",IF(L50="","",IF(K50="","",K50)))</f>
      </c>
      <c r="L51" s="214">
        <f>+I50</f>
      </c>
      <c r="M51" s="215">
        <f>IF(J50="","",J50)</f>
      </c>
      <c r="N51" s="216">
        <f>IF(WhoWillProvide="",0,IF(WhoWillProvide=Both_Can_Provide,premium1+premium2,IF(WhoWillProvide=ParentA_Can_Provide,premium1,IF(WhoWillProvide=ParentB_Can_Provide,premium2,0))))</f>
        <v>0</v>
      </c>
      <c r="O51" s="235">
        <f>WhoWillProvide</f>
        <v>0</v>
      </c>
      <c r="P51" s="236"/>
    </row>
    <row r="52" spans="1:16" ht="15" customHeight="1">
      <c r="A52" s="405" t="s">
        <v>27</v>
      </c>
      <c r="B52" s="445" t="s">
        <v>208</v>
      </c>
      <c r="C52" s="446"/>
      <c r="D52" s="426"/>
      <c r="E52" s="426"/>
      <c r="F52" s="112" t="s">
        <v>97</v>
      </c>
      <c r="P52" s="237"/>
    </row>
    <row r="53" spans="1:16" ht="72.75" customHeight="1">
      <c r="A53" s="406"/>
      <c r="B53" s="447"/>
      <c r="C53" s="448"/>
      <c r="D53" s="426"/>
      <c r="E53" s="426"/>
      <c r="F53" s="364">
        <f>IF(WhoWillProvide="",0,IF(WhoWillProvide=Both_Can_Provide,premium1+premium2,IF(WhoWillProvide=ParentA_Can_Provide,premium1,IF(WhoWillProvide=ParentB_Can_Provide,premium2,0))))</f>
        <v>0</v>
      </c>
      <c r="G53" s="146"/>
      <c r="H53" s="412"/>
      <c r="I53" s="412"/>
      <c r="J53" s="412"/>
      <c r="K53" s="412"/>
      <c r="L53" s="186"/>
      <c r="M53" s="170"/>
      <c r="N53" s="170"/>
      <c r="O53" s="170"/>
      <c r="P53" s="170"/>
    </row>
    <row r="54" spans="1:16" ht="44.25" customHeight="1">
      <c r="A54" s="313" t="s">
        <v>28</v>
      </c>
      <c r="B54" s="443" t="s">
        <v>122</v>
      </c>
      <c r="C54" s="444"/>
      <c r="D54" s="115">
        <f>IF(ricTotal&gt;0,ROUND(rincost1/ricTotal,4),0)</f>
        <v>0</v>
      </c>
      <c r="E54" s="311">
        <f>IF(ricTotal&gt;0,ROUND(rincost2/ricTotal,4),0)</f>
        <v>0</v>
      </c>
      <c r="F54" s="81"/>
      <c r="G54" s="146"/>
      <c r="H54" s="177"/>
      <c r="I54" s="183"/>
      <c r="J54" s="179"/>
      <c r="K54" s="179"/>
      <c r="L54" s="179"/>
      <c r="M54" s="170"/>
      <c r="N54" s="170"/>
      <c r="O54" s="170"/>
      <c r="P54" s="170"/>
    </row>
    <row r="55" spans="1:16" ht="58.5" customHeight="1">
      <c r="A55" s="313" t="s">
        <v>34</v>
      </c>
      <c r="B55" s="443" t="s">
        <v>297</v>
      </c>
      <c r="C55" s="444"/>
      <c r="D55" s="361">
        <f>+ROUND(HCCtotal*hccpct1,2)</f>
        <v>0</v>
      </c>
      <c r="E55" s="361">
        <f>+ROUND(HCCtotal*hccpct2,2)</f>
        <v>0</v>
      </c>
      <c r="F55" s="49"/>
      <c r="G55" s="146"/>
      <c r="H55" s="177"/>
      <c r="I55" s="183"/>
      <c r="J55" s="179"/>
      <c r="K55" s="179"/>
      <c r="L55" s="170"/>
      <c r="M55" s="170"/>
      <c r="N55" s="170"/>
      <c r="O55" s="170"/>
      <c r="P55" s="170"/>
    </row>
    <row r="56" spans="1:16" ht="45.75" customHeight="1">
      <c r="A56" s="313" t="s">
        <v>39</v>
      </c>
      <c r="B56" s="443" t="s">
        <v>209</v>
      </c>
      <c r="C56" s="444"/>
      <c r="D56" s="359">
        <f>+CSafterCCC1+hccshare1</f>
        <v>0</v>
      </c>
      <c r="E56" s="360">
        <f>+CSafterCCC2+hccshare2</f>
        <v>0</v>
      </c>
      <c r="F56" s="49"/>
      <c r="G56" s="146"/>
      <c r="H56" s="177"/>
      <c r="I56" s="183"/>
      <c r="J56" s="179"/>
      <c r="K56" s="179"/>
      <c r="L56" s="170"/>
      <c r="M56" s="170"/>
      <c r="N56" s="170"/>
      <c r="O56" s="170"/>
      <c r="P56" s="170"/>
    </row>
    <row r="57" spans="1:16" ht="15.75">
      <c r="A57" s="85"/>
      <c r="B57" s="85"/>
      <c r="C57" s="321"/>
      <c r="D57" s="28"/>
      <c r="E57" s="28"/>
      <c r="G57" s="146"/>
      <c r="H57" s="177"/>
      <c r="I57" s="173"/>
      <c r="J57" s="180"/>
      <c r="K57" s="180"/>
      <c r="L57" s="170"/>
      <c r="M57" s="170"/>
      <c r="N57" s="170"/>
      <c r="O57" s="170"/>
      <c r="P57" s="170"/>
    </row>
    <row r="58" spans="1:16" ht="15.75">
      <c r="A58" s="438" t="s">
        <v>80</v>
      </c>
      <c r="B58" s="438"/>
      <c r="C58" s="438"/>
      <c r="D58" s="438"/>
      <c r="E58" s="438"/>
      <c r="G58" s="146"/>
      <c r="H58" s="419"/>
      <c r="I58" s="419"/>
      <c r="J58" s="419"/>
      <c r="K58" s="419"/>
      <c r="L58" s="170"/>
      <c r="M58" s="170"/>
      <c r="N58" s="170"/>
      <c r="O58" s="170"/>
      <c r="P58" s="170"/>
    </row>
    <row r="59" spans="1:14" ht="28.5" customHeight="1">
      <c r="A59" s="38"/>
      <c r="B59" s="38"/>
      <c r="C59" s="322"/>
      <c r="D59" s="430" t="s">
        <v>222</v>
      </c>
      <c r="E59" s="431"/>
      <c r="F59" s="136"/>
      <c r="G59" s="238"/>
      <c r="H59" s="238"/>
      <c r="I59" s="238"/>
      <c r="J59" s="170"/>
      <c r="K59" s="170"/>
      <c r="L59" s="170"/>
      <c r="M59" s="170"/>
      <c r="N59" s="170"/>
    </row>
    <row r="60" spans="1:14" ht="162" customHeight="1">
      <c r="A60" s="313" t="s">
        <v>13</v>
      </c>
      <c r="B60" s="422" t="s">
        <v>349</v>
      </c>
      <c r="C60" s="423"/>
      <c r="D60" s="428"/>
      <c r="E60" s="429"/>
      <c r="F60" s="67"/>
      <c r="G60" s="281"/>
      <c r="H60" s="219"/>
      <c r="I60" s="219"/>
      <c r="J60" s="170"/>
      <c r="K60" s="170"/>
      <c r="L60" s="170"/>
      <c r="M60" s="170"/>
      <c r="N60" s="170"/>
    </row>
    <row r="61" spans="1:16" ht="15.75" customHeight="1">
      <c r="A61" s="405" t="s">
        <v>210</v>
      </c>
      <c r="B61" s="452" t="s">
        <v>301</v>
      </c>
      <c r="C61" s="453"/>
      <c r="D61" s="163" t="str">
        <f>+IF(ISBLANK(pname1),"",pname1)</f>
        <v>name</v>
      </c>
      <c r="E61" s="163" t="str">
        <f>+IF(ISBLANK(pname2),"",pname2)</f>
        <v>name</v>
      </c>
      <c r="G61" s="146"/>
      <c r="H61" s="177"/>
      <c r="I61" s="173"/>
      <c r="J61" s="170"/>
      <c r="K61" s="170"/>
      <c r="L61" s="170"/>
      <c r="M61" s="170"/>
      <c r="N61" s="170"/>
      <c r="O61" s="170"/>
      <c r="P61" s="170"/>
    </row>
    <row r="62" spans="1:16" ht="88.5" customHeight="1">
      <c r="A62" s="406"/>
      <c r="B62" s="454"/>
      <c r="C62" s="455"/>
      <c r="D62" s="357">
        <f>IF(cmelection?="y",rincost1,IF(cmelection?="n",0,IF(cmelection?="c",rincost1,0)))</f>
        <v>0</v>
      </c>
      <c r="E62" s="357">
        <f>IF(cmelection?="y",rincost2,IF(cmelection?="n",0,IF(cmelection?="c",rincost2,0)))</f>
        <v>0</v>
      </c>
      <c r="G62" s="146"/>
      <c r="H62" s="177"/>
      <c r="I62" s="173"/>
      <c r="J62" s="170"/>
      <c r="K62" s="170"/>
      <c r="L62" s="170"/>
      <c r="M62" s="170"/>
      <c r="N62" s="170"/>
      <c r="O62" s="170"/>
      <c r="P62" s="170"/>
    </row>
    <row r="63" spans="1:16" ht="15" customHeight="1">
      <c r="A63" s="95"/>
      <c r="B63" s="95"/>
      <c r="C63" s="96"/>
      <c r="D63" s="54"/>
      <c r="E63" s="54"/>
      <c r="G63" s="146"/>
      <c r="H63" s="177"/>
      <c r="I63" s="173"/>
      <c r="J63" s="170"/>
      <c r="K63" s="170"/>
      <c r="L63" s="170"/>
      <c r="M63" s="170"/>
      <c r="N63" s="170"/>
      <c r="O63" s="170"/>
      <c r="P63" s="170"/>
    </row>
    <row r="64" spans="1:16" ht="15.75">
      <c r="A64" s="404" t="s">
        <v>81</v>
      </c>
      <c r="B64" s="404"/>
      <c r="C64" s="404"/>
      <c r="D64" s="404"/>
      <c r="E64" s="404"/>
      <c r="G64" s="146"/>
      <c r="H64" s="418"/>
      <c r="I64" s="418"/>
      <c r="J64" s="418"/>
      <c r="K64" s="418"/>
      <c r="L64" s="170"/>
      <c r="M64" s="170"/>
      <c r="N64" s="170"/>
      <c r="O64" s="170"/>
      <c r="P64" s="170"/>
    </row>
    <row r="65" spans="1:16" ht="25.5">
      <c r="A65" s="88"/>
      <c r="B65" s="88"/>
      <c r="C65" s="88"/>
      <c r="D65" s="163" t="str">
        <f>+IF(ISBLANK(pname1),"",pname1)</f>
        <v>name</v>
      </c>
      <c r="E65" s="163" t="str">
        <f>+IF(ISBLANK(pname2),"",pname2)</f>
        <v>name</v>
      </c>
      <c r="F65" s="105" t="s">
        <v>211</v>
      </c>
      <c r="G65" s="146"/>
      <c r="H65" s="194"/>
      <c r="I65" s="194"/>
      <c r="J65" s="194"/>
      <c r="K65" s="194"/>
      <c r="L65" s="170"/>
      <c r="M65" s="170"/>
      <c r="N65" s="170"/>
      <c r="O65" s="170"/>
      <c r="P65" s="170"/>
    </row>
    <row r="66" spans="1:16" ht="45" customHeight="1">
      <c r="A66" s="316" t="s">
        <v>9</v>
      </c>
      <c r="B66" s="443" t="s">
        <v>123</v>
      </c>
      <c r="C66" s="444"/>
      <c r="D66" s="374"/>
      <c r="E66" s="374"/>
      <c r="F66" s="375"/>
      <c r="G66" s="308">
        <f>IF(AND(OR(NOT(ISBLANK(ptime1)),NOT(ISBLANK(ptime2))+NOT(ISBLANK(ptctr))),365&lt;&gt;(ptime1+ptime2+ptctr)),"Parenting time must equal 365 days","")</f>
      </c>
      <c r="H66" s="177"/>
      <c r="I66" s="183"/>
      <c r="J66" s="195"/>
      <c r="K66" s="195"/>
      <c r="L66" s="170"/>
      <c r="M66" s="170"/>
      <c r="N66" s="170"/>
      <c r="O66" s="170"/>
      <c r="P66" s="170"/>
    </row>
    <row r="67" spans="1:16" ht="75" customHeight="1">
      <c r="A67" s="313" t="s">
        <v>29</v>
      </c>
      <c r="B67" s="490" t="s">
        <v>345</v>
      </c>
      <c r="C67" s="491"/>
      <c r="D67" s="311">
        <f>ROUND(1/(1+EXP(-7.14*((ptime1/365)-0.5)))-2.74%+(2*2.74%*(ptime1/365)),4)</f>
        <v>0</v>
      </c>
      <c r="E67" s="311">
        <f>ROUND(1/(1+EXP(-7.14*((ptime2/365)-0.5)))-2.74%+(2*2.74%*(ptime2/365)),4)</f>
        <v>0</v>
      </c>
      <c r="G67" s="146"/>
      <c r="H67" s="177"/>
      <c r="I67" s="182"/>
      <c r="J67" s="179"/>
      <c r="K67" s="179"/>
      <c r="L67" s="170"/>
      <c r="M67" s="170"/>
      <c r="N67" s="170"/>
      <c r="O67" s="170"/>
      <c r="P67" s="170"/>
    </row>
    <row r="68" spans="1:16" ht="73.5" customHeight="1">
      <c r="A68" s="284" t="s">
        <v>30</v>
      </c>
      <c r="B68" s="422" t="s">
        <v>302</v>
      </c>
      <c r="C68" s="423"/>
      <c r="D68" s="357">
        <f>ROUND(IF(children&gt;0,+basicC*jointminorch/children*ptcredpct1,0),2)</f>
        <v>0</v>
      </c>
      <c r="E68" s="357">
        <f>ROUND(IF(children&gt;0,+basicC*jointminorch/children*ptcredpct2,0),2)</f>
        <v>0</v>
      </c>
      <c r="F68" s="49"/>
      <c r="G68" s="146"/>
      <c r="H68" s="177"/>
      <c r="I68" s="183"/>
      <c r="J68" s="179"/>
      <c r="K68" s="179"/>
      <c r="L68" s="170"/>
      <c r="M68" s="170"/>
      <c r="N68" s="170"/>
      <c r="O68" s="170"/>
      <c r="P68" s="170"/>
    </row>
    <row r="69" spans="1:16" ht="33" customHeight="1">
      <c r="A69" s="313" t="s">
        <v>65</v>
      </c>
      <c r="B69" s="481" t="s">
        <v>124</v>
      </c>
      <c r="C69" s="481"/>
      <c r="D69" s="357">
        <f>+ccoop1</f>
        <v>0</v>
      </c>
      <c r="E69" s="357">
        <f>+ccoop2</f>
        <v>0</v>
      </c>
      <c r="F69" s="49"/>
      <c r="G69" s="146"/>
      <c r="H69" s="177"/>
      <c r="I69" s="183"/>
      <c r="J69" s="239"/>
      <c r="K69" s="239"/>
      <c r="L69" s="170"/>
      <c r="M69" s="170"/>
      <c r="N69" s="170"/>
      <c r="O69" s="170"/>
      <c r="P69" s="170"/>
    </row>
    <row r="70" spans="1:16" ht="45.75" customHeight="1">
      <c r="A70" s="313" t="s">
        <v>66</v>
      </c>
      <c r="B70" s="443" t="s">
        <v>125</v>
      </c>
      <c r="C70" s="444"/>
      <c r="D70" s="357">
        <f>IF(WhoWillProvide="",0,IF(WhoWillProvide=either_parent_when_available,0,IF(OR(WhoWillProvide=ParentA_Can_Provide,WhoWillProvide=Both_Can_Provide),premium1,0)))</f>
        <v>0</v>
      </c>
      <c r="E70" s="357">
        <f>IF(WhoWillProvide="",0,IF(WhoWillProvide=either_parent_when_available,0,IF(OR(WhoWillProvide=ParentB_Can_Provide,WhoWillProvide=Both_Can_Provide),premium2,0)))</f>
        <v>0</v>
      </c>
      <c r="F70" s="49"/>
      <c r="G70" s="146"/>
      <c r="H70" s="177"/>
      <c r="I70" s="183"/>
      <c r="J70" s="195"/>
      <c r="K70" s="195"/>
      <c r="L70" s="170"/>
      <c r="M70" s="170"/>
      <c r="N70" s="170"/>
      <c r="O70" s="170"/>
      <c r="P70" s="170"/>
    </row>
    <row r="71" spans="1:16" ht="58.5" customHeight="1">
      <c r="A71" s="284" t="s">
        <v>67</v>
      </c>
      <c r="B71" s="443" t="s">
        <v>304</v>
      </c>
      <c r="C71" s="444"/>
      <c r="D71" s="357">
        <f>CSafterHCC1-SUM(D68:D70)</f>
        <v>0</v>
      </c>
      <c r="E71" s="357">
        <f>CSafterHCC2-SUM(E68:E70)</f>
        <v>0</v>
      </c>
      <c r="F71" s="49"/>
      <c r="G71" s="146"/>
      <c r="H71" s="177"/>
      <c r="I71" s="183"/>
      <c r="J71" s="195"/>
      <c r="K71" s="195"/>
      <c r="L71" s="170"/>
      <c r="M71" s="170"/>
      <c r="N71" s="170"/>
      <c r="O71" s="170"/>
      <c r="P71" s="170"/>
    </row>
    <row r="72" spans="1:16" ht="8.25" customHeight="1">
      <c r="A72" s="85"/>
      <c r="B72" s="85"/>
      <c r="C72" s="37"/>
      <c r="D72" s="34"/>
      <c r="E72" s="34"/>
      <c r="G72" s="146"/>
      <c r="H72" s="177"/>
      <c r="I72" s="183"/>
      <c r="J72" s="239"/>
      <c r="K72" s="239"/>
      <c r="L72" s="170"/>
      <c r="M72" s="170"/>
      <c r="N72" s="170"/>
      <c r="O72" s="170"/>
      <c r="P72" s="170"/>
    </row>
    <row r="73" spans="1:16" ht="15.75">
      <c r="A73" s="404" t="s">
        <v>305</v>
      </c>
      <c r="B73" s="404"/>
      <c r="C73" s="404"/>
      <c r="D73" s="404"/>
      <c r="E73" s="404"/>
      <c r="G73" s="146"/>
      <c r="H73" s="199"/>
      <c r="I73" s="199"/>
      <c r="J73" s="199"/>
      <c r="K73" s="199"/>
      <c r="L73" s="170"/>
      <c r="M73" s="170"/>
      <c r="N73" s="170"/>
      <c r="O73" s="170"/>
      <c r="P73" s="170"/>
    </row>
    <row r="74" spans="1:16" ht="15.75">
      <c r="A74" s="85"/>
      <c r="B74" s="85"/>
      <c r="C74" s="85"/>
      <c r="D74" s="163" t="str">
        <f>+IF(ISBLANK(pname1),"",pname1)</f>
        <v>name</v>
      </c>
      <c r="E74" s="163" t="str">
        <f>+IF(ISBLANK(pname2),"",pname2)</f>
        <v>name</v>
      </c>
      <c r="G74" s="146"/>
      <c r="H74" s="194"/>
      <c r="I74" s="240"/>
      <c r="J74" s="194"/>
      <c r="K74" s="170"/>
      <c r="L74" s="170"/>
      <c r="M74" s="170"/>
      <c r="N74" s="170"/>
      <c r="O74" s="170"/>
      <c r="P74" s="170"/>
    </row>
    <row r="75" spans="1:16" ht="60" customHeight="1">
      <c r="A75" s="315" t="s">
        <v>10</v>
      </c>
      <c r="B75" s="482" t="s">
        <v>308</v>
      </c>
      <c r="C75" s="483"/>
      <c r="D75" s="357">
        <f>IF(children&gt;0,basicSSR1/children*jointminorch,0)</f>
        <v>0</v>
      </c>
      <c r="E75" s="357">
        <f>IF(children&gt;0,basicSSR2/children*jointminorch,0)</f>
        <v>0</v>
      </c>
      <c r="G75" s="146"/>
      <c r="H75" s="194"/>
      <c r="I75" s="240"/>
      <c r="J75" s="194"/>
      <c r="K75" s="170"/>
      <c r="L75" s="170"/>
      <c r="M75" s="170"/>
      <c r="N75" s="170"/>
      <c r="O75" s="170"/>
      <c r="P75" s="170"/>
    </row>
    <row r="76" spans="1:16" ht="116.25" customHeight="1">
      <c r="A76" s="315" t="s">
        <v>307</v>
      </c>
      <c r="B76" s="482" t="s">
        <v>320</v>
      </c>
      <c r="C76" s="483"/>
      <c r="D76" s="357">
        <f>IF(children&gt;0,minorsbs1+ccoopshare1+(hccshare1/children*jointminorch)-ptcred1-cccoopcred1-(HCCcred1/children*jointminorch),0)</f>
        <v>0</v>
      </c>
      <c r="E76" s="357">
        <f>IF(children&gt;0,minorsbs2+ccoopshare2+(hccshare2/children*jointminorch)-ptcred2-cccoopcred2-(HCCcred2/children*jointminorch),0)</f>
        <v>0</v>
      </c>
      <c r="G76" s="146"/>
      <c r="H76" s="194"/>
      <c r="I76" s="240"/>
      <c r="J76" s="194"/>
      <c r="K76" s="170"/>
      <c r="L76" s="170"/>
      <c r="M76" s="170"/>
      <c r="N76" s="170"/>
      <c r="O76" s="170"/>
      <c r="P76" s="170"/>
    </row>
    <row r="77" spans="1:16" ht="119.25" customHeight="1">
      <c r="A77" s="315" t="s">
        <v>306</v>
      </c>
      <c r="B77" s="422" t="s">
        <v>352</v>
      </c>
      <c r="C77" s="423"/>
      <c r="D77" s="143">
        <f>IF(calctype="Please enter joint children in Section 1.","",IF(ptctr&gt;0,"Yes",IF(OR(minsupadj1=minsupadj2,jointminorch&lt;1),"No",IF(minsupadj1&gt;minsupadj2,"Yes","No"))))</f>
      </c>
      <c r="E77" s="143">
        <f>IF(calctype="Please enter joint children in Section 1.","",IF(ptctr&gt;0,"Yes",IF(OR(minsupadj1=minsupadj2,jointminorch&lt;1),"No",IF(minsupadj1&lt;minsupadj2,"Yes","No"))))</f>
      </c>
      <c r="G77" s="309" t="str">
        <f>IF(jointminorch&gt;0,IF(jointCAS&gt;0,"Both","Minor children only"),IF(jointCAS&gt;0,"No minor children","Please enter joint children in Section 1."))</f>
        <v>Please enter joint children in Section 1.</v>
      </c>
      <c r="H77" s="177"/>
      <c r="I77" s="183"/>
      <c r="J77" s="195"/>
      <c r="K77" s="195"/>
      <c r="L77" s="170"/>
      <c r="M77" s="170"/>
      <c r="N77" s="170"/>
      <c r="O77" s="170"/>
      <c r="P77" s="170"/>
    </row>
    <row r="78" spans="1:17" s="72" customFormat="1" ht="13.5" customHeight="1">
      <c r="A78" s="89"/>
      <c r="B78" s="89"/>
      <c r="C78" s="89"/>
      <c r="G78" s="282"/>
      <c r="H78" s="233"/>
      <c r="I78" s="233"/>
      <c r="J78" s="233"/>
      <c r="K78" s="233"/>
      <c r="L78" s="233"/>
      <c r="M78" s="233"/>
      <c r="N78" s="233"/>
      <c r="O78" s="233"/>
      <c r="P78" s="233"/>
      <c r="Q78" s="241"/>
    </row>
    <row r="79" spans="1:16" ht="15.75">
      <c r="A79" s="404" t="s">
        <v>309</v>
      </c>
      <c r="B79" s="404"/>
      <c r="C79" s="404"/>
      <c r="D79" s="404"/>
      <c r="E79" s="404"/>
      <c r="G79" s="146"/>
      <c r="H79" s="418"/>
      <c r="I79" s="418"/>
      <c r="J79" s="418"/>
      <c r="K79" s="418"/>
      <c r="L79" s="170"/>
      <c r="M79" s="170"/>
      <c r="N79" s="170"/>
      <c r="O79" s="170"/>
      <c r="P79" s="170"/>
    </row>
    <row r="80" spans="1:17" s="49" customFormat="1" ht="15">
      <c r="A80" s="90"/>
      <c r="B80" s="90"/>
      <c r="C80" s="90"/>
      <c r="D80" s="163" t="str">
        <f>+IF(ISBLANK(pname1),"",pname1)</f>
        <v>name</v>
      </c>
      <c r="E80" s="163" t="str">
        <f>+IF(ISBLANK(pname2),"",pname2)</f>
        <v>name</v>
      </c>
      <c r="G80" s="250"/>
      <c r="H80" s="242"/>
      <c r="I80" s="242"/>
      <c r="J80" s="242"/>
      <c r="K80" s="242"/>
      <c r="L80" s="190"/>
      <c r="M80" s="190"/>
      <c r="N80" s="190"/>
      <c r="O80" s="190"/>
      <c r="P80" s="190"/>
      <c r="Q80" s="223"/>
    </row>
    <row r="81" spans="1:16" ht="60.75" customHeight="1">
      <c r="A81" s="313" t="s">
        <v>11</v>
      </c>
      <c r="B81" s="443" t="s">
        <v>310</v>
      </c>
      <c r="C81" s="444"/>
      <c r="D81" s="357">
        <f>IF(HCCcred1&gt;cmeds1,HCCcred1+CSafterCredits1,CSafterCredits1+cmeds1)</f>
        <v>0</v>
      </c>
      <c r="E81" s="357">
        <f>IF(HCCcred2&gt;cmeds2,HCCcred2+CSafterCredits2,CSafterCredits2+cmeds2)</f>
        <v>0</v>
      </c>
      <c r="F81" s="26"/>
      <c r="G81" s="146"/>
      <c r="H81" s="177"/>
      <c r="I81" s="183"/>
      <c r="J81" s="225"/>
      <c r="K81" s="225"/>
      <c r="L81" s="170"/>
      <c r="M81" s="170"/>
      <c r="N81" s="170"/>
      <c r="O81" s="170"/>
      <c r="P81" s="170"/>
    </row>
    <row r="82" spans="1:16" ht="92.25" customHeight="1">
      <c r="A82" s="313" t="s">
        <v>68</v>
      </c>
      <c r="B82" s="456" t="s">
        <v>361</v>
      </c>
      <c r="C82" s="457"/>
      <c r="D82" s="312" t="s">
        <v>358</v>
      </c>
      <c r="E82" s="144" t="s">
        <v>358</v>
      </c>
      <c r="F82" s="26"/>
      <c r="G82" s="146"/>
      <c r="H82" s="177"/>
      <c r="I82" s="183"/>
      <c r="J82" s="225"/>
      <c r="K82" s="225"/>
      <c r="L82" s="170"/>
      <c r="M82" s="170"/>
      <c r="N82" s="170"/>
      <c r="O82" s="170"/>
      <c r="P82" s="170"/>
    </row>
    <row r="83" spans="1:16" ht="73.5" customHeight="1">
      <c r="A83" s="313" t="s">
        <v>69</v>
      </c>
      <c r="B83" s="422" t="s">
        <v>126</v>
      </c>
      <c r="C83" s="423"/>
      <c r="D83" s="357">
        <f>IF(calctype="Please enter joint children in Section 1.",0,IF(exception1="Yes",0,IF(TotalCSbeforeminord1&lt;100,100-TotalCSbeforeminord1,0)))</f>
        <v>0</v>
      </c>
      <c r="E83" s="357">
        <f>IF(calctype="Please enter joint children in Section 1.",0,IF(exception2="Yes",0,IF(TotalCSbeforeminord2&lt;100,100-TotalCSbeforeminord2,0)))</f>
        <v>0</v>
      </c>
      <c r="F83" s="26"/>
      <c r="G83" s="146"/>
      <c r="H83" s="177"/>
      <c r="I83" s="183"/>
      <c r="J83" s="225"/>
      <c r="K83" s="225"/>
      <c r="L83" s="170"/>
      <c r="M83" s="170"/>
      <c r="N83" s="170"/>
      <c r="O83" s="170"/>
      <c r="P83" s="170"/>
    </row>
    <row r="84" spans="1:16" ht="74.25" customHeight="1">
      <c r="A84" s="313" t="s">
        <v>70</v>
      </c>
      <c r="B84" s="422" t="s">
        <v>321</v>
      </c>
      <c r="C84" s="423"/>
      <c r="D84" s="359">
        <f>IF(AND(partytype1="No",jointCAS&lt;1),0,IF(ROUND(CSafterCredits1+addcsamt1,2)&lt;0,0,ROUND(CSafterCredits1+addcsamt1,2)))</f>
        <v>0</v>
      </c>
      <c r="E84" s="360">
        <f>IF(AND(partytype2="No",jointCAS&lt;1),0,IF(ROUND(CSafterCredits2+addcsamt2,2)&lt;0,0,ROUND(CSafterCredits2+addcsamt2,2)))</f>
        <v>0</v>
      </c>
      <c r="G84" s="146"/>
      <c r="H84" s="177"/>
      <c r="I84" s="217"/>
      <c r="J84" s="243"/>
      <c r="K84" s="243"/>
      <c r="L84" s="170"/>
      <c r="M84" s="170"/>
      <c r="N84" s="170"/>
      <c r="O84" s="170"/>
      <c r="P84" s="170"/>
    </row>
    <row r="85" spans="1:16" ht="74.25" customHeight="1">
      <c r="A85" s="313" t="s">
        <v>303</v>
      </c>
      <c r="B85" s="475" t="s">
        <v>322</v>
      </c>
      <c r="C85" s="457"/>
      <c r="D85" s="353"/>
      <c r="E85" s="354"/>
      <c r="G85" s="146"/>
      <c r="H85" s="177"/>
      <c r="I85" s="183"/>
      <c r="J85" s="239"/>
      <c r="K85" s="239"/>
      <c r="L85" s="170"/>
      <c r="M85" s="170"/>
      <c r="N85" s="170"/>
      <c r="O85" s="170"/>
      <c r="P85" s="170"/>
    </row>
    <row r="86" spans="1:16" ht="60" customHeight="1">
      <c r="A86" s="313" t="s">
        <v>311</v>
      </c>
      <c r="B86" s="476" t="s">
        <v>347</v>
      </c>
      <c r="C86" s="477"/>
      <c r="D86" s="359">
        <f>MAX(TotalCSafterminord1-ssavabene1,0)</f>
        <v>0</v>
      </c>
      <c r="E86" s="360">
        <f>MAX(TotalCSafterminord2-ssavabene2,0)</f>
        <v>0</v>
      </c>
      <c r="G86" s="146"/>
      <c r="H86" s="177"/>
      <c r="I86" s="334"/>
      <c r="J86" s="239"/>
      <c r="K86" s="239"/>
      <c r="L86" s="170"/>
      <c r="M86" s="170"/>
      <c r="N86" s="170"/>
      <c r="O86" s="170"/>
      <c r="P86" s="170"/>
    </row>
    <row r="87" spans="1:16" ht="45" customHeight="1">
      <c r="A87" s="313" t="s">
        <v>312</v>
      </c>
      <c r="B87" s="478" t="s">
        <v>355</v>
      </c>
      <c r="C87" s="479"/>
      <c r="D87" s="359">
        <f>IF(TotalCSafterSSV1=(TotalCSafterminord1-ssavabene1),0,ABS(TotalCSafterminord1-ssavabene1))</f>
        <v>0</v>
      </c>
      <c r="E87" s="360">
        <f>IF(TotalCSafterSSV2=(TotalCSafterminord2-ssavabene2),0,ABS(TotalCSafterminord2-ssavabene2))</f>
        <v>0</v>
      </c>
      <c r="G87" s="146"/>
      <c r="H87" s="177"/>
      <c r="I87" s="334"/>
      <c r="J87" s="239"/>
      <c r="K87" s="239"/>
      <c r="L87" s="170"/>
      <c r="M87" s="170"/>
      <c r="N87" s="170"/>
      <c r="O87" s="170"/>
      <c r="P87" s="170"/>
    </row>
    <row r="88" spans="1:16" ht="58.5" customHeight="1">
      <c r="A88" s="313" t="s">
        <v>313</v>
      </c>
      <c r="B88" s="476" t="s">
        <v>348</v>
      </c>
      <c r="C88" s="480"/>
      <c r="D88" s="359">
        <f>MAX(cmeds1-remredcms1,0)</f>
        <v>0</v>
      </c>
      <c r="E88" s="360">
        <f>MAX(cmeds2-remredcms2,0)</f>
        <v>0</v>
      </c>
      <c r="G88" s="146"/>
      <c r="H88" s="177"/>
      <c r="I88" s="334"/>
      <c r="J88" s="239"/>
      <c r="K88" s="239"/>
      <c r="L88" s="170"/>
      <c r="M88" s="170"/>
      <c r="N88" s="170"/>
      <c r="O88" s="170"/>
      <c r="P88" s="170"/>
    </row>
    <row r="89" spans="1:16" ht="15.75">
      <c r="A89" s="85"/>
      <c r="B89" s="85"/>
      <c r="C89" s="37"/>
      <c r="D89" s="34"/>
      <c r="E89" s="34"/>
      <c r="G89" s="146"/>
      <c r="H89" s="418"/>
      <c r="I89" s="418"/>
      <c r="J89" s="418"/>
      <c r="K89" s="418"/>
      <c r="L89" s="170"/>
      <c r="M89" s="170"/>
      <c r="N89" s="170"/>
      <c r="O89" s="170"/>
      <c r="P89" s="170"/>
    </row>
    <row r="90" spans="1:17" s="49" customFormat="1" ht="15" customHeight="1">
      <c r="A90" s="404" t="s">
        <v>71</v>
      </c>
      <c r="B90" s="404"/>
      <c r="C90" s="404"/>
      <c r="D90" s="404"/>
      <c r="E90" s="404"/>
      <c r="G90" s="250"/>
      <c r="H90" s="415"/>
      <c r="I90" s="415"/>
      <c r="J90" s="415"/>
      <c r="K90" s="415"/>
      <c r="L90" s="190"/>
      <c r="M90" s="190"/>
      <c r="N90" s="190"/>
      <c r="O90" s="190"/>
      <c r="P90" s="190"/>
      <c r="Q90" s="223"/>
    </row>
    <row r="91" spans="1:16" ht="16.5" customHeight="1">
      <c r="A91" s="322"/>
      <c r="B91" s="322"/>
      <c r="C91" s="322"/>
      <c r="D91" s="163" t="str">
        <f>+IF(ISBLANK(pname1),"",pname1)</f>
        <v>name</v>
      </c>
      <c r="E91" s="163" t="str">
        <f>+IF(ISBLANK(pname2),"",pname2)</f>
        <v>name</v>
      </c>
      <c r="G91" s="146"/>
      <c r="H91" s="177"/>
      <c r="I91" s="173"/>
      <c r="J91" s="244"/>
      <c r="K91" s="244"/>
      <c r="L91" s="170"/>
      <c r="M91" s="170"/>
      <c r="N91" s="170"/>
      <c r="O91" s="170"/>
      <c r="P91" s="170"/>
    </row>
    <row r="92" spans="1:16" ht="87.75" customHeight="1">
      <c r="A92" s="314" t="s">
        <v>12</v>
      </c>
      <c r="B92" s="436" t="s">
        <v>314</v>
      </c>
      <c r="C92" s="437"/>
      <c r="D92" s="359">
        <f>IF(OR(children&lt;=0,partytype1="No"),0,ROUND(ROUND(TotalCSafterSSV1/children,2)*jointminorch,0))</f>
        <v>0</v>
      </c>
      <c r="E92" s="360">
        <f>IF(OR(children&lt;=0,partytype2="No"),0,ROUND(ROUND(TotalCSafterSSV2/children,2)*jointminorch,0))</f>
        <v>0</v>
      </c>
      <c r="F92" s="26"/>
      <c r="G92" s="146"/>
      <c r="H92" s="177"/>
      <c r="I92" s="173"/>
      <c r="J92" s="244"/>
      <c r="K92" s="244"/>
      <c r="L92" s="170"/>
      <c r="M92" s="170"/>
      <c r="N92" s="170"/>
      <c r="O92" s="170"/>
      <c r="P92" s="170"/>
    </row>
    <row r="93" spans="1:16" ht="74.25" customHeight="1">
      <c r="A93" s="314" t="s">
        <v>31</v>
      </c>
      <c r="B93" s="436" t="s">
        <v>315</v>
      </c>
      <c r="C93" s="437"/>
      <c r="D93" s="359">
        <f>IF(OR(partytype1="no",children&lt;=0),0,ROUND(ROUND(cmsafterSS1/children,2)*jointminorch,0))</f>
        <v>0</v>
      </c>
      <c r="E93" s="360">
        <f>IF(OR(partytype2="No",children&lt;=0),0,ROUND(ROUND(cmsafterSS2/children,2)*jointminorch,0))</f>
        <v>0</v>
      </c>
      <c r="G93" s="146"/>
      <c r="H93" s="177"/>
      <c r="I93" s="173"/>
      <c r="J93" s="244"/>
      <c r="K93" s="244"/>
      <c r="L93" s="170"/>
      <c r="M93" s="170"/>
      <c r="N93" s="170"/>
      <c r="O93" s="170"/>
      <c r="P93" s="170"/>
    </row>
    <row r="94" spans="1:16" ht="90" customHeight="1">
      <c r="A94" s="314" t="s">
        <v>32</v>
      </c>
      <c r="B94" s="422" t="s">
        <v>343</v>
      </c>
      <c r="C94" s="423"/>
      <c r="D94" s="359">
        <f>IF(children=0,0,IF(partytype1="No",IF(jointCAS&gt;0,ROUND(TotalCSafterSSV1,0),0),ROUND(ROUND(TotalCSafterSSV1/children,2)*jointCAS,0)))</f>
        <v>0</v>
      </c>
      <c r="E94" s="360">
        <f>IF(children=0,0,IF(partytype2="No",IF(jointCAS&gt;0,ROUND(TotalCSafterSSV2,0),0),ROUND(ROUND(TotalCSafterSSV2/children,2)*jointCAS,0)))</f>
        <v>0</v>
      </c>
      <c r="G94" s="146"/>
      <c r="H94" s="177"/>
      <c r="I94" s="173"/>
      <c r="J94" s="244"/>
      <c r="K94" s="244"/>
      <c r="L94" s="170"/>
      <c r="M94" s="170"/>
      <c r="N94" s="170"/>
      <c r="O94" s="170"/>
      <c r="P94" s="170"/>
    </row>
    <row r="95" spans="1:16" ht="90" customHeight="1">
      <c r="A95" s="314" t="s">
        <v>33</v>
      </c>
      <c r="B95" s="436" t="s">
        <v>316</v>
      </c>
      <c r="C95" s="437"/>
      <c r="D95" s="359">
        <f>IF(jointCAS&gt;0,IF(OR(partytype1="No",jointminorch=0),ROUND(cmsafterSS1,0),ROUND(ROUND(cmsafterSS1/children,2)*jointCAS,0)),0)</f>
        <v>0</v>
      </c>
      <c r="E95" s="360">
        <f>IF(jointCAS&gt;0,IF(OR(partytype2="No",jointminorch=0),ROUND(cmsafterSS2,0),ROUND(ROUND(cmsafterSS2/children,2)*jointCAS,0)),0)</f>
        <v>0</v>
      </c>
      <c r="G95" s="146"/>
      <c r="H95" s="177"/>
      <c r="I95" s="173"/>
      <c r="J95" s="244"/>
      <c r="K95" s="244"/>
      <c r="L95" s="170"/>
      <c r="M95" s="170"/>
      <c r="N95" s="170"/>
      <c r="O95" s="170"/>
      <c r="P95" s="170"/>
    </row>
    <row r="96" spans="1:16" ht="31.5" customHeight="1">
      <c r="A96" s="314" t="s">
        <v>72</v>
      </c>
      <c r="B96" s="472" t="s">
        <v>281</v>
      </c>
      <c r="C96" s="473"/>
      <c r="D96" s="359">
        <f>SUM(D92:D95)</f>
        <v>0</v>
      </c>
      <c r="E96" s="360">
        <f>SUM(E92:E95)</f>
        <v>0</v>
      </c>
      <c r="G96" s="146"/>
      <c r="H96" s="177"/>
      <c r="I96" s="173"/>
      <c r="J96" s="244"/>
      <c r="K96" s="244"/>
      <c r="L96" s="170"/>
      <c r="M96" s="170"/>
      <c r="N96" s="170"/>
      <c r="O96" s="170"/>
      <c r="P96" s="170"/>
    </row>
    <row r="97" spans="1:16" ht="45" customHeight="1">
      <c r="A97" s="314" t="s">
        <v>73</v>
      </c>
      <c r="B97" s="470" t="s">
        <v>267</v>
      </c>
      <c r="C97" s="471"/>
      <c r="D97" s="420">
        <f>IF(WhoWillProvide&lt;&gt;"",WhoWillProvide,"")</f>
      </c>
      <c r="E97" s="421"/>
      <c r="G97" s="146"/>
      <c r="H97" s="177"/>
      <c r="I97" s="173"/>
      <c r="J97" s="170"/>
      <c r="K97" s="170"/>
      <c r="L97" s="170"/>
      <c r="M97" s="170"/>
      <c r="N97" s="170"/>
      <c r="O97" s="170"/>
      <c r="P97" s="170"/>
    </row>
    <row r="98" spans="1:16" ht="60" customHeight="1">
      <c r="A98" s="313" t="s">
        <v>212</v>
      </c>
      <c r="B98" s="443" t="s">
        <v>268</v>
      </c>
      <c r="C98" s="444"/>
      <c r="D98" s="416">
        <f>IF(compellingfactors?="Yes",IF(ricTotal&gt;HCCtotal,ricTotal,HCCtotal),ricTotal)</f>
        <v>0</v>
      </c>
      <c r="E98" s="417"/>
      <c r="G98" s="146"/>
      <c r="H98" s="177"/>
      <c r="I98" s="173"/>
      <c r="J98" s="170"/>
      <c r="K98" s="170"/>
      <c r="L98" s="170"/>
      <c r="M98" s="170"/>
      <c r="N98" s="170"/>
      <c r="O98" s="170"/>
      <c r="P98" s="170"/>
    </row>
    <row r="99" spans="7:16" ht="20.25" customHeight="1">
      <c r="G99" s="146"/>
      <c r="H99" s="419"/>
      <c r="I99" s="419"/>
      <c r="J99" s="419"/>
      <c r="K99" s="419"/>
      <c r="L99" s="170"/>
      <c r="M99" s="170"/>
      <c r="N99" s="170"/>
      <c r="O99" s="170"/>
      <c r="P99" s="170"/>
    </row>
    <row r="100" spans="1:16" ht="24" customHeight="1">
      <c r="A100" s="435" t="s">
        <v>127</v>
      </c>
      <c r="B100" s="435"/>
      <c r="C100" s="435"/>
      <c r="D100" s="435"/>
      <c r="E100" s="435"/>
      <c r="G100" s="146"/>
      <c r="H100" s="414"/>
      <c r="I100" s="414"/>
      <c r="J100" s="414"/>
      <c r="K100" s="414"/>
      <c r="L100" s="170"/>
      <c r="M100" s="170"/>
      <c r="N100" s="170"/>
      <c r="O100" s="170"/>
      <c r="P100" s="170"/>
    </row>
    <row r="101" spans="1:17" s="49" customFormat="1" ht="33" customHeight="1">
      <c r="A101" s="434" t="s">
        <v>198</v>
      </c>
      <c r="B101" s="434"/>
      <c r="C101" s="434"/>
      <c r="D101" s="434"/>
      <c r="E101" s="434"/>
      <c r="G101" s="413"/>
      <c r="H101" s="245"/>
      <c r="I101" s="245"/>
      <c r="J101" s="245"/>
      <c r="K101" s="245"/>
      <c r="L101" s="190"/>
      <c r="M101" s="190"/>
      <c r="N101" s="190"/>
      <c r="O101" s="190"/>
      <c r="P101" s="190"/>
      <c r="Q101" s="223"/>
    </row>
    <row r="102" spans="1:16" ht="15">
      <c r="A102" s="91"/>
      <c r="B102" s="91"/>
      <c r="C102" s="91"/>
      <c r="D102" s="163" t="str">
        <f>+IF(ISBLANK(pname1),"",pname1)</f>
        <v>name</v>
      </c>
      <c r="E102" s="163" t="str">
        <f>+IF(ISBLANK(pname2),"",pname2)</f>
        <v>name</v>
      </c>
      <c r="G102" s="413"/>
      <c r="H102" s="246"/>
      <c r="I102" s="173"/>
      <c r="J102" s="173"/>
      <c r="K102" s="173"/>
      <c r="L102" s="170"/>
      <c r="M102" s="170"/>
      <c r="N102" s="170"/>
      <c r="O102" s="170"/>
      <c r="P102" s="170"/>
    </row>
    <row r="103" spans="1:16" ht="32.25" customHeight="1">
      <c r="A103" s="474" t="s">
        <v>14</v>
      </c>
      <c r="B103" s="474"/>
      <c r="C103" s="142" t="s">
        <v>317</v>
      </c>
      <c r="D103" s="349">
        <f>+totalCS1*0.15</f>
        <v>0</v>
      </c>
      <c r="E103" s="349">
        <f>+totalCS2*0.15</f>
        <v>0</v>
      </c>
      <c r="G103" s="146"/>
      <c r="H103" s="177"/>
      <c r="I103" s="173"/>
      <c r="J103" s="247"/>
      <c r="K103" s="247"/>
      <c r="L103" s="170"/>
      <c r="M103" s="170"/>
      <c r="N103" s="170"/>
      <c r="O103" s="170"/>
      <c r="P103" s="170"/>
    </row>
    <row r="104" spans="1:16" ht="16.5" customHeight="1">
      <c r="A104" s="458" t="s">
        <v>15</v>
      </c>
      <c r="B104" s="459"/>
      <c r="C104" s="285" t="s">
        <v>74</v>
      </c>
      <c r="D104" s="350"/>
      <c r="E104" s="350"/>
      <c r="G104" s="251"/>
      <c r="H104" s="177"/>
      <c r="I104" s="173"/>
      <c r="J104" s="247"/>
      <c r="K104" s="247"/>
      <c r="L104" s="170"/>
      <c r="M104" s="170"/>
      <c r="N104" s="170"/>
      <c r="O104" s="170"/>
      <c r="P104" s="170"/>
    </row>
    <row r="105" spans="1:16" ht="45" customHeight="1">
      <c r="A105" s="458" t="s">
        <v>16</v>
      </c>
      <c r="B105" s="459"/>
      <c r="C105" s="256" t="s">
        <v>213</v>
      </c>
      <c r="D105" s="286">
        <f>IF(NoAgreedApplied,"",ROUND(IF(totalCS1&gt;0,agcashchg1/totalCS1,0),4))</f>
      </c>
      <c r="E105" s="286">
        <f>IF(NoAgreedApplied,"",ROUND(IF(totalCS2&gt;0,agcashchg2/totalCS2,0),4))</f>
      </c>
      <c r="G105" s="146" t="b">
        <f>IF(AND(OR(ISBLANK(agcashchg1),IF(ISNUMBER(agcashchg1),IF(agcashchg1=0,TRUE,FALSE),FALSE)),OR(ISBLANK(agcashchg2),IF(ISNUMBER(agcashchg2),IF(agcashchg2=0,TRUE,FALSE),FALSE))),TRUE,FALSE)</f>
        <v>1</v>
      </c>
      <c r="H105" s="177"/>
      <c r="I105" s="173"/>
      <c r="J105" s="247"/>
      <c r="K105" s="247"/>
      <c r="L105" s="170"/>
      <c r="M105" s="170"/>
      <c r="N105" s="170"/>
      <c r="O105" s="170"/>
      <c r="P105" s="170"/>
    </row>
    <row r="106" spans="1:16" ht="46.5" customHeight="1">
      <c r="A106" s="458" t="s">
        <v>17</v>
      </c>
      <c r="B106" s="459"/>
      <c r="C106" s="255" t="s">
        <v>269</v>
      </c>
      <c r="D106" s="359">
        <f>IF(NoAgreedApplied,"",IF(ISNUMBER(agcashchg1),ROUND(csminorch1+csminorch1*agreedpct1,0),))</f>
      </c>
      <c r="E106" s="360">
        <f>IF(NoAgreedApplied,"",IF(ISNUMBER(agcashchg2),ROUND(csminorch2+csminorch2*agreedpct2,0),))</f>
      </c>
      <c r="G106" s="146"/>
      <c r="H106" s="177"/>
      <c r="I106" s="173"/>
      <c r="J106" s="247"/>
      <c r="K106" s="247"/>
      <c r="L106" s="170"/>
      <c r="M106" s="170"/>
      <c r="N106" s="170"/>
      <c r="O106" s="170"/>
      <c r="P106" s="170"/>
    </row>
    <row r="107" spans="1:16" ht="46.5" customHeight="1">
      <c r="A107" s="458" t="s">
        <v>75</v>
      </c>
      <c r="B107" s="459"/>
      <c r="C107" s="255" t="s">
        <v>270</v>
      </c>
      <c r="D107" s="359">
        <f>IF(NoAgreedApplied,"",IF(ISNUMBER(agcashchg1),ROUND(cmedsminorch1+cmedsminorch1*agreedpct1,0),))</f>
      </c>
      <c r="E107" s="360">
        <f>IF(NoAgreedApplied,"",IF(ISNUMBER(agcashchg2),ROUND(cmedsminorch2+cmedsminorch2*agreedpct2,0),))</f>
      </c>
      <c r="G107" s="146"/>
      <c r="H107" s="177"/>
      <c r="I107" s="173"/>
      <c r="J107" s="247"/>
      <c r="K107" s="247"/>
      <c r="L107" s="170"/>
      <c r="M107" s="170"/>
      <c r="N107" s="170"/>
      <c r="O107" s="170"/>
      <c r="P107" s="170"/>
    </row>
    <row r="108" spans="1:16" ht="58.5" customHeight="1">
      <c r="A108" s="458" t="s">
        <v>76</v>
      </c>
      <c r="B108" s="459"/>
      <c r="C108" s="256" t="s">
        <v>285</v>
      </c>
      <c r="D108" s="359">
        <f>IF(NoAgreedApplied,"",IF(ISNUMBER(agcashchg1),ROUND(csCASch1+csCASch1*agreedpct1,0),))</f>
      </c>
      <c r="E108" s="360">
        <f>IF(NoAgreedApplied,"",IF(ISNUMBER(agcashchg2),ROUND(csCASch2+csCASch2*agreedpct2,0),))</f>
      </c>
      <c r="G108" s="146"/>
      <c r="H108" s="177"/>
      <c r="I108" s="173"/>
      <c r="J108" s="247"/>
      <c r="K108" s="247"/>
      <c r="L108" s="170"/>
      <c r="M108" s="170"/>
      <c r="N108" s="170"/>
      <c r="O108" s="170"/>
      <c r="P108" s="170"/>
    </row>
    <row r="109" spans="1:16" ht="62.25" customHeight="1">
      <c r="A109" s="458" t="s">
        <v>77</v>
      </c>
      <c r="B109" s="459"/>
      <c r="C109" s="256" t="s">
        <v>271</v>
      </c>
      <c r="D109" s="359">
        <f>IF(NoAgreedApplied,"",IF(ISNUMBER(agcashchg1),ROUND(cmedsCASch1+cmedsCASch1*agreedpct1,0),))</f>
      </c>
      <c r="E109" s="360">
        <f>IF(NoAgreedApplied,"",IF(ISNUMBER(agcashchg2),ROUND(cmedsCASch2+cmedsCASch2*agreedpct2,0),))</f>
      </c>
      <c r="G109" s="146"/>
      <c r="H109" s="177"/>
      <c r="I109" s="173"/>
      <c r="J109" s="247"/>
      <c r="K109" s="247"/>
      <c r="L109" s="170"/>
      <c r="M109" s="170"/>
      <c r="N109" s="170"/>
      <c r="O109" s="170"/>
      <c r="P109" s="170"/>
    </row>
    <row r="110" spans="1:16" ht="45.75" customHeight="1">
      <c r="A110" s="458" t="s">
        <v>78</v>
      </c>
      <c r="B110" s="459"/>
      <c r="C110" s="256" t="s">
        <v>216</v>
      </c>
      <c r="D110" s="359">
        <f>IF(NoAgreedApplied,"",SUM(D106:D109))</f>
      </c>
      <c r="E110" s="360">
        <f>IF(NoAgreedApplied,"",SUM(E106:E109))</f>
      </c>
      <c r="F110" s="36"/>
      <c r="G110" s="146"/>
      <c r="H110" s="170"/>
      <c r="I110" s="170"/>
      <c r="J110" s="170"/>
      <c r="K110" s="170"/>
      <c r="L110" s="170"/>
      <c r="M110" s="170"/>
      <c r="N110" s="170"/>
      <c r="O110" s="170"/>
      <c r="P110" s="170"/>
    </row>
    <row r="111" spans="3:5" ht="15.75">
      <c r="C111" s="323"/>
      <c r="D111" s="36"/>
      <c r="E111" s="36"/>
    </row>
  </sheetData>
  <sheetProtection password="8AB2" sheet="1" selectLockedCells="1"/>
  <mergeCells count="122">
    <mergeCell ref="B28:C28"/>
    <mergeCell ref="B12:C12"/>
    <mergeCell ref="B18:C18"/>
    <mergeCell ref="B17:C17"/>
    <mergeCell ref="B13:C13"/>
    <mergeCell ref="B14:C14"/>
    <mergeCell ref="B15:C15"/>
    <mergeCell ref="B16:C16"/>
    <mergeCell ref="B27:C27"/>
    <mergeCell ref="B25:C26"/>
    <mergeCell ref="B48:C49"/>
    <mergeCell ref="B47:C47"/>
    <mergeCell ref="B46:C46"/>
    <mergeCell ref="B42:C42"/>
    <mergeCell ref="B40:C41"/>
    <mergeCell ref="B39:C39"/>
    <mergeCell ref="B38:C38"/>
    <mergeCell ref="B33:C34"/>
    <mergeCell ref="B31:E32"/>
    <mergeCell ref="B67:C67"/>
    <mergeCell ref="B66:C66"/>
    <mergeCell ref="B61:C62"/>
    <mergeCell ref="B60:C60"/>
    <mergeCell ref="B56:C56"/>
    <mergeCell ref="B55:C55"/>
    <mergeCell ref="E48:E49"/>
    <mergeCell ref="B77:C77"/>
    <mergeCell ref="B71:C71"/>
    <mergeCell ref="B70:C70"/>
    <mergeCell ref="B69:C69"/>
    <mergeCell ref="B68:C68"/>
    <mergeCell ref="B75:C75"/>
    <mergeCell ref="B76:C76"/>
    <mergeCell ref="B92:C92"/>
    <mergeCell ref="B84:C84"/>
    <mergeCell ref="B83:C83"/>
    <mergeCell ref="B82:C82"/>
    <mergeCell ref="B81:C81"/>
    <mergeCell ref="B85:C85"/>
    <mergeCell ref="B86:C86"/>
    <mergeCell ref="B87:C87"/>
    <mergeCell ref="B88:C88"/>
    <mergeCell ref="A109:B109"/>
    <mergeCell ref="A110:B110"/>
    <mergeCell ref="B98:C98"/>
    <mergeCell ref="B97:C97"/>
    <mergeCell ref="B96:C96"/>
    <mergeCell ref="B95:C95"/>
    <mergeCell ref="A103:B103"/>
    <mergeCell ref="A104:B104"/>
    <mergeCell ref="A105:B105"/>
    <mergeCell ref="A106:B106"/>
    <mergeCell ref="A107:B107"/>
    <mergeCell ref="A108:B108"/>
    <mergeCell ref="A5:C5"/>
    <mergeCell ref="H30:K30"/>
    <mergeCell ref="H36:K36"/>
    <mergeCell ref="D25:D26"/>
    <mergeCell ref="D22:E22"/>
    <mergeCell ref="E25:E26"/>
    <mergeCell ref="F21:F22"/>
    <mergeCell ref="D20:E21"/>
    <mergeCell ref="I34:K34"/>
    <mergeCell ref="A9:F9"/>
    <mergeCell ref="A20:A21"/>
    <mergeCell ref="A25:A26"/>
    <mergeCell ref="A13:A18"/>
    <mergeCell ref="B23:C23"/>
    <mergeCell ref="B22:C22"/>
    <mergeCell ref="B20:C21"/>
    <mergeCell ref="B19:C19"/>
    <mergeCell ref="B24:C24"/>
    <mergeCell ref="A40:A41"/>
    <mergeCell ref="A52:A53"/>
    <mergeCell ref="A58:E58"/>
    <mergeCell ref="E40:E41"/>
    <mergeCell ref="D48:D49"/>
    <mergeCell ref="D40:D41"/>
    <mergeCell ref="B54:C54"/>
    <mergeCell ref="B52:C53"/>
    <mergeCell ref="B51:C51"/>
    <mergeCell ref="B50:C50"/>
    <mergeCell ref="H58:K58"/>
    <mergeCell ref="A101:E101"/>
    <mergeCell ref="A100:E100"/>
    <mergeCell ref="A61:A62"/>
    <mergeCell ref="H79:K79"/>
    <mergeCell ref="A79:E79"/>
    <mergeCell ref="H64:K64"/>
    <mergeCell ref="A73:E73"/>
    <mergeCell ref="A64:E64"/>
    <mergeCell ref="B93:C93"/>
    <mergeCell ref="A1:C1"/>
    <mergeCell ref="D51:F51"/>
    <mergeCell ref="I45:K45"/>
    <mergeCell ref="D52:E53"/>
    <mergeCell ref="A48:A49"/>
    <mergeCell ref="D60:E60"/>
    <mergeCell ref="D59:E59"/>
    <mergeCell ref="A44:E44"/>
    <mergeCell ref="D50:F50"/>
    <mergeCell ref="A7:C7"/>
    <mergeCell ref="H53:K53"/>
    <mergeCell ref="G101:G102"/>
    <mergeCell ref="H100:K100"/>
    <mergeCell ref="H90:K90"/>
    <mergeCell ref="D98:E98"/>
    <mergeCell ref="H89:K89"/>
    <mergeCell ref="H99:K99"/>
    <mergeCell ref="D97:E97"/>
    <mergeCell ref="A90:E90"/>
    <mergeCell ref="B94:C94"/>
    <mergeCell ref="A2:C2"/>
    <mergeCell ref="A30:E30"/>
    <mergeCell ref="A36:E36"/>
    <mergeCell ref="A33:A34"/>
    <mergeCell ref="H37:K37"/>
    <mergeCell ref="A8:C8"/>
    <mergeCell ref="A31:A32"/>
    <mergeCell ref="G20:G22"/>
    <mergeCell ref="D7:E7"/>
    <mergeCell ref="A6:D6"/>
  </mergeCells>
  <dataValidations count="17">
    <dataValidation type="list" allowBlank="1" showInputMessage="1" showErrorMessage="1" sqref="J11:K11">
      <formula1>"mother,father,alleged father"</formula1>
    </dataValidation>
    <dataValidation type="list" allowBlank="1" showInputMessage="1" showErrorMessage="1" sqref="F34 L34">
      <formula1>"yes,no"</formula1>
    </dataValidation>
    <dataValidation type="list" allowBlank="1" showErrorMessage="1" errorTitle="Invalid Entry" error="Please select a relationship from the list." sqref="E11">
      <formula1>$H$11:$H$14</formula1>
    </dataValidation>
    <dataValidation type="decimal" allowBlank="1" showInputMessage="1" showErrorMessage="1" sqref="D14:E17 D85:E88">
      <formula1>0</formula1>
      <formula2>99999.99</formula2>
    </dataValidation>
    <dataValidation type="decimal" allowBlank="1" showInputMessage="1" showErrorMessage="1" sqref="D38:F38">
      <formula1>0</formula1>
      <formula2>99999</formula2>
    </dataValidation>
    <dataValidation type="decimal" allowBlank="1" showInputMessage="1" showErrorMessage="1" sqref="F47 D62:E63">
      <formula1>0</formula1>
      <formula2>9999.99</formula2>
    </dataValidation>
    <dataValidation type="whole" allowBlank="1" showInputMessage="1" showErrorMessage="1" sqref="D19:E19">
      <formula1>0</formula1>
      <formula2>99</formula2>
    </dataValidation>
    <dataValidation type="custom" showInputMessage="1" showErrorMessage="1" sqref="D104:E104">
      <formula1>ABS(D104)&lt;=ABS(D103)</formula1>
    </dataValidation>
    <dataValidation type="decimal" allowBlank="1" showInputMessage="1" showErrorMessage="1" sqref="D66:F66">
      <formula1>0</formula1>
      <formula2>365</formula2>
    </dataValidation>
    <dataValidation type="list" allowBlank="1" showInputMessage="1" showErrorMessage="1" sqref="D52:E53">
      <formula1>$J$51:$L$51</formula1>
    </dataValidation>
    <dataValidation type="list" allowBlank="1" showInputMessage="1" showErrorMessage="1" sqref="D60:E60">
      <formula1>"y,n,c"</formula1>
    </dataValidation>
    <dataValidation type="custom" allowBlank="1" showInputMessage="1" showErrorMessage="1" sqref="G45:G46 H46">
      <formula1>G45</formula1>
    </dataValidation>
    <dataValidation type="custom" allowBlank="1" showInputMessage="1" showErrorMessage="1" errorTitle="Invalid Entry" error="Enter an amount or enter $0. Enter &quot;none&quot; if appropriate coverage is not available. If less than zero, enter $0." sqref="D46:E46">
      <formula1>G46</formula1>
    </dataValidation>
    <dataValidation type="custom" allowBlank="1" showErrorMessage="1" errorTitle="Invalid Entry" error="Please enter a name with 15 or fewer characters, using only letters, spaces, and hyphen." sqref="D10:E10">
      <formula1>G10</formula1>
    </dataValidation>
    <dataValidation type="list" allowBlank="1" showErrorMessage="1" errorTitle="Invalid Entry" error="Please select a relationship from the list." sqref="D11">
      <formula1>$G$11:$G$14</formula1>
    </dataValidation>
    <dataValidation type="decimal" allowBlank="1" showInputMessage="1" showErrorMessage="1" sqref="D12:E12">
      <formula1>0</formula1>
      <formula2>999999.99</formula2>
    </dataValidation>
    <dataValidation type="list" allowBlank="1" showInputMessage="1" showErrorMessage="1" sqref="D51:F51 D82:E82">
      <formula1>"Yes,No"</formula1>
    </dataValidation>
  </dataValidations>
  <printOptions horizontalCentered="1"/>
  <pageMargins left="0.4" right="0.25" top="0.45" bottom="0.5" header="0" footer="0.25"/>
  <pageSetup blackAndWhite="1" fitToHeight="0" fitToWidth="1" horizontalDpi="600" verticalDpi="600" orientation="portrait" scale="91" r:id="rId2"/>
  <headerFooter scaleWithDoc="0">
    <oddFooter>&amp;L&amp;7Page &amp;P of &amp;N - CHILD SUPPORT WORKSHEET (Excel version 4.3) 
CSF 02 0910 (Rev. 02/14/17)</oddFooter>
  </headerFooter>
  <rowBreaks count="5" manualBreakCount="5">
    <brk id="4" max="255" man="1"/>
    <brk id="34" max="255" man="1"/>
    <brk id="53" max="4" man="1"/>
    <brk id="68" max="4" man="1"/>
    <brk id="95" max="5" man="1"/>
  </rowBreaks>
  <drawing r:id="rId1"/>
</worksheet>
</file>

<file path=xl/worksheets/sheet3.xml><?xml version="1.0" encoding="utf-8"?>
<worksheet xmlns="http://schemas.openxmlformats.org/spreadsheetml/2006/main" xmlns:r="http://schemas.openxmlformats.org/officeDocument/2006/relationships">
  <sheetPr codeName="Sheet1">
    <pageSetUpPr fitToPage="1"/>
  </sheetPr>
  <dimension ref="A1:P144"/>
  <sheetViews>
    <sheetView showGridLines="0" zoomScaleSheetLayoutView="85" workbookViewId="0" topLeftCell="A1">
      <selection activeCell="C11" sqref="C11"/>
    </sheetView>
  </sheetViews>
  <sheetFormatPr defaultColWidth="9.140625" defaultRowHeight="12.75"/>
  <cols>
    <col min="1" max="1" width="7.28125" style="23" customWidth="1"/>
    <col min="2" max="2" width="62.140625" style="23" customWidth="1"/>
    <col min="3" max="4" width="15.7109375" style="23" customWidth="1"/>
    <col min="5" max="5" width="13.421875" style="23" customWidth="1"/>
    <col min="6" max="6" width="27.7109375" style="66" customWidth="1"/>
    <col min="7" max="7" width="30.7109375" style="170" hidden="1" customWidth="1"/>
    <col min="8" max="8" width="61.7109375" style="170" hidden="1" customWidth="1"/>
    <col min="9" max="11" width="14.7109375" style="170" hidden="1" customWidth="1"/>
    <col min="12" max="14" width="9.140625" style="170" hidden="1" customWidth="1"/>
    <col min="15" max="16" width="9.140625" style="171" hidden="1" customWidth="1"/>
    <col min="17" max="17" width="9.140625" style="26" customWidth="1"/>
    <col min="18" max="16384" width="9.140625" style="26" customWidth="1"/>
  </cols>
  <sheetData>
    <row r="1" spans="1:5" ht="15">
      <c r="A1" s="496" t="s">
        <v>226</v>
      </c>
      <c r="B1" s="496"/>
      <c r="C1" s="496"/>
      <c r="D1" s="496"/>
      <c r="E1" s="496"/>
    </row>
    <row r="2" spans="1:11" ht="15.75" customHeight="1">
      <c r="A2" s="497" t="s">
        <v>287</v>
      </c>
      <c r="B2" s="498"/>
      <c r="C2" s="499"/>
      <c r="D2" s="499"/>
      <c r="E2" s="24"/>
      <c r="G2" s="172"/>
      <c r="H2" s="346"/>
      <c r="I2" s="500"/>
      <c r="J2" s="500"/>
      <c r="K2" s="174"/>
    </row>
    <row r="3" spans="1:11" ht="15.75" customHeight="1">
      <c r="A3" s="130"/>
      <c r="B3" s="130"/>
      <c r="C3" s="65"/>
      <c r="D3" s="65"/>
      <c r="E3" s="24"/>
      <c r="G3" s="172"/>
      <c r="H3" s="346"/>
      <c r="I3" s="347"/>
      <c r="J3" s="347"/>
      <c r="K3" s="174"/>
    </row>
    <row r="4" spans="1:2" ht="15">
      <c r="A4" s="411" t="s">
        <v>82</v>
      </c>
      <c r="B4" s="411"/>
    </row>
    <row r="5" spans="1:2" ht="15">
      <c r="A5" s="408" t="s">
        <v>83</v>
      </c>
      <c r="B5" s="408"/>
    </row>
    <row r="6" spans="1:2" ht="15">
      <c r="A6" s="408" t="s">
        <v>201</v>
      </c>
      <c r="B6" s="408"/>
    </row>
    <row r="7" spans="1:5" ht="9.75" customHeight="1">
      <c r="A7" s="108"/>
      <c r="B7" s="108"/>
      <c r="C7" s="108"/>
      <c r="D7" s="108"/>
      <c r="E7" s="108"/>
    </row>
    <row r="8" spans="1:5" ht="36" customHeight="1">
      <c r="A8" s="524" t="s">
        <v>199</v>
      </c>
      <c r="B8" s="524"/>
      <c r="C8" s="524"/>
      <c r="D8" s="524"/>
      <c r="E8" s="524"/>
    </row>
    <row r="9" spans="1:5" ht="9" customHeight="1">
      <c r="A9" s="525"/>
      <c r="B9" s="525"/>
      <c r="C9" s="525"/>
      <c r="D9" s="525"/>
      <c r="E9" s="525"/>
    </row>
    <row r="10" spans="1:6" ht="15.75" customHeight="1">
      <c r="A10" s="450" t="s">
        <v>84</v>
      </c>
      <c r="B10" s="450"/>
      <c r="C10" s="450"/>
      <c r="D10" s="450"/>
      <c r="E10" s="450"/>
      <c r="F10" s="68"/>
    </row>
    <row r="11" spans="1:10" ht="15.75" customHeight="1">
      <c r="A11" s="555"/>
      <c r="B11" s="556"/>
      <c r="C11" s="165" t="str">
        <f>+IF(ISBLANK(pname1),"",pname1)</f>
        <v>name</v>
      </c>
      <c r="D11" s="165" t="str">
        <f>+IF(ISBLANK(pname2),"",pname2)</f>
        <v>name</v>
      </c>
      <c r="G11" s="549"/>
      <c r="H11" s="550"/>
      <c r="I11" s="175"/>
      <c r="J11" s="175"/>
    </row>
    <row r="12" spans="1:11" ht="15.75" customHeight="1">
      <c r="A12" s="557"/>
      <c r="B12" s="558"/>
      <c r="C12" s="161" t="str">
        <f>+ptype1</f>
        <v>relationship</v>
      </c>
      <c r="D12" s="161" t="str">
        <f>+ptype2</f>
        <v>relationship</v>
      </c>
      <c r="E12" s="25"/>
      <c r="G12" s="550"/>
      <c r="H12" s="550"/>
      <c r="I12" s="175"/>
      <c r="J12" s="175"/>
      <c r="K12" s="176"/>
    </row>
    <row r="13" spans="1:10" ht="15.75" customHeight="1">
      <c r="A13" s="55" t="s">
        <v>40</v>
      </c>
      <c r="B13" s="138" t="s">
        <v>36</v>
      </c>
      <c r="C13" s="365">
        <f>+income1</f>
        <v>0</v>
      </c>
      <c r="D13" s="365">
        <f>+income2</f>
        <v>0</v>
      </c>
      <c r="E13" s="26"/>
      <c r="F13" s="68"/>
      <c r="G13" s="177"/>
      <c r="H13" s="178"/>
      <c r="I13" s="179"/>
      <c r="J13" s="179"/>
    </row>
    <row r="14" spans="1:10" ht="15.75" customHeight="1">
      <c r="A14" s="505" t="s">
        <v>41</v>
      </c>
      <c r="B14" s="138" t="s">
        <v>85</v>
      </c>
      <c r="C14" s="47"/>
      <c r="D14" s="47"/>
      <c r="E14" s="26"/>
      <c r="F14" s="68"/>
      <c r="G14" s="177"/>
      <c r="H14" s="178"/>
      <c r="I14" s="180"/>
      <c r="J14" s="180"/>
    </row>
    <row r="15" spans="1:10" ht="15" customHeight="1">
      <c r="A15" s="506"/>
      <c r="B15" s="253" t="s">
        <v>53</v>
      </c>
      <c r="C15" s="365">
        <f>IF(spousalplus1="","",spousalplus1)</f>
      </c>
      <c r="D15" s="365">
        <f>IF(spousalplus2="","",spousalplus2)</f>
      </c>
      <c r="E15" s="26"/>
      <c r="F15" s="68"/>
      <c r="G15" s="181"/>
      <c r="H15" s="182"/>
      <c r="I15" s="179"/>
      <c r="J15" s="179"/>
    </row>
    <row r="16" spans="1:10" ht="15.75" customHeight="1">
      <c r="A16" s="506"/>
      <c r="B16" s="253" t="s">
        <v>54</v>
      </c>
      <c r="C16" s="365">
        <f>IF(spousalminus1="","",spousalminus1)</f>
      </c>
      <c r="D16" s="365">
        <f>IF(spousalminus2="","",spousalminus2)</f>
      </c>
      <c r="E16" s="26"/>
      <c r="F16" s="68"/>
      <c r="G16" s="181"/>
      <c r="H16" s="182"/>
      <c r="I16" s="179"/>
      <c r="J16" s="179"/>
    </row>
    <row r="17" spans="1:10" ht="15.75" customHeight="1">
      <c r="A17" s="506"/>
      <c r="B17" s="254" t="s">
        <v>55</v>
      </c>
      <c r="C17" s="365">
        <f>IF(uniondues1="","",uniondues1)</f>
      </c>
      <c r="D17" s="365">
        <f>IF(uniondues2="","",uniondues2)</f>
      </c>
      <c r="E17" s="26"/>
      <c r="F17" s="68"/>
      <c r="G17" s="181"/>
      <c r="H17" s="182"/>
      <c r="I17" s="179"/>
      <c r="J17" s="179"/>
    </row>
    <row r="18" spans="1:10" ht="15.75" customHeight="1">
      <c r="A18" s="506"/>
      <c r="B18" s="254" t="s">
        <v>56</v>
      </c>
      <c r="C18" s="365">
        <f>IF(parentpremium1="","",parentpremium1)</f>
      </c>
      <c r="D18" s="365">
        <f>IF(parentpremium2="","",parentpremium2)</f>
      </c>
      <c r="E18" s="26"/>
      <c r="F18" s="68"/>
      <c r="G18" s="181"/>
      <c r="H18" s="182"/>
      <c r="I18" s="179"/>
      <c r="J18" s="179"/>
    </row>
    <row r="19" spans="1:11" ht="15.75" customHeight="1">
      <c r="A19" s="507"/>
      <c r="B19" s="138" t="s">
        <v>38</v>
      </c>
      <c r="C19" s="366">
        <f>+incomeplusminus1</f>
        <v>0</v>
      </c>
      <c r="D19" s="366">
        <f>+incomeplusminus2</f>
        <v>0</v>
      </c>
      <c r="E19" s="35"/>
      <c r="G19" s="181"/>
      <c r="H19" s="339"/>
      <c r="I19" s="179"/>
      <c r="J19" s="179"/>
      <c r="K19" s="184"/>
    </row>
    <row r="20" spans="1:11" ht="30.75" customHeight="1">
      <c r="A20" s="55" t="s">
        <v>42</v>
      </c>
      <c r="B20" s="138" t="s">
        <v>89</v>
      </c>
      <c r="C20" s="324">
        <f>+addch1</f>
        <v>0</v>
      </c>
      <c r="D20" s="324">
        <f>+addch2</f>
        <v>0</v>
      </c>
      <c r="E20" s="31"/>
      <c r="G20" s="177"/>
      <c r="H20" s="339"/>
      <c r="I20" s="179"/>
      <c r="J20" s="179"/>
      <c r="K20" s="185"/>
    </row>
    <row r="21" spans="1:11" ht="15" customHeight="1">
      <c r="A21" s="505" t="s">
        <v>43</v>
      </c>
      <c r="B21" s="452" t="s">
        <v>272</v>
      </c>
      <c r="C21" s="526">
        <f>+jointminorch</f>
        <v>0</v>
      </c>
      <c r="D21" s="527"/>
      <c r="E21" s="112" t="s">
        <v>97</v>
      </c>
      <c r="G21" s="177"/>
      <c r="H21" s="339"/>
      <c r="I21" s="179"/>
      <c r="J21" s="179"/>
      <c r="K21" s="185"/>
    </row>
    <row r="22" spans="1:11" ht="29.25" customHeight="1">
      <c r="A22" s="507"/>
      <c r="B22" s="454"/>
      <c r="C22" s="528"/>
      <c r="D22" s="529"/>
      <c r="E22" s="508">
        <f>+children</f>
        <v>0</v>
      </c>
      <c r="G22" s="177"/>
      <c r="H22" s="339"/>
      <c r="I22" s="179"/>
      <c r="J22" s="179"/>
      <c r="K22" s="186"/>
    </row>
    <row r="23" spans="1:11" ht="43.5" customHeight="1">
      <c r="A23" s="55" t="s">
        <v>44</v>
      </c>
      <c r="B23" s="138" t="s">
        <v>90</v>
      </c>
      <c r="C23" s="553">
        <f>+jointCAS</f>
        <v>0</v>
      </c>
      <c r="D23" s="554"/>
      <c r="E23" s="509"/>
      <c r="G23" s="177"/>
      <c r="H23" s="339"/>
      <c r="I23" s="179"/>
      <c r="J23" s="179"/>
      <c r="K23" s="186"/>
    </row>
    <row r="24" spans="1:11" ht="60" customHeight="1">
      <c r="A24" s="55" t="s">
        <v>86</v>
      </c>
      <c r="B24" s="138" t="s">
        <v>91</v>
      </c>
      <c r="C24" s="325">
        <f>+totalch1</f>
        <v>0</v>
      </c>
      <c r="D24" s="325">
        <f>+totalch2</f>
        <v>0</v>
      </c>
      <c r="E24" s="48"/>
      <c r="G24" s="177"/>
      <c r="H24" s="339"/>
      <c r="I24" s="179"/>
      <c r="J24" s="179"/>
      <c r="K24" s="186"/>
    </row>
    <row r="25" spans="1:11" ht="75" customHeight="1">
      <c r="A25" s="55" t="s">
        <v>87</v>
      </c>
      <c r="B25" s="274" t="s">
        <v>282</v>
      </c>
      <c r="C25" s="366">
        <f>+addchded1</f>
        <v>0</v>
      </c>
      <c r="D25" s="366">
        <f>+addchded2</f>
        <v>0</v>
      </c>
      <c r="E25" s="48"/>
      <c r="G25" s="177"/>
      <c r="H25" s="339"/>
      <c r="I25" s="179"/>
      <c r="J25" s="179"/>
      <c r="K25" s="186"/>
    </row>
    <row r="26" spans="1:11" ht="45.75" customHeight="1">
      <c r="A26" s="145" t="s">
        <v>37</v>
      </c>
      <c r="B26" s="137" t="s">
        <v>196</v>
      </c>
      <c r="C26" s="367"/>
      <c r="D26" s="367"/>
      <c r="E26" s="48"/>
      <c r="G26" s="177"/>
      <c r="H26" s="339"/>
      <c r="I26" s="179"/>
      <c r="J26" s="179"/>
      <c r="K26" s="186"/>
    </row>
    <row r="27" spans="1:11" ht="15" customHeight="1">
      <c r="A27" s="405" t="s">
        <v>88</v>
      </c>
      <c r="B27" s="452" t="s">
        <v>220</v>
      </c>
      <c r="C27" s="511"/>
      <c r="D27" s="453"/>
      <c r="E27" s="48"/>
      <c r="G27" s="177"/>
      <c r="H27" s="339"/>
      <c r="I27" s="179"/>
      <c r="J27" s="179"/>
      <c r="K27" s="186"/>
    </row>
    <row r="28" spans="1:11" ht="29.25" customHeight="1">
      <c r="A28" s="451"/>
      <c r="B28" s="541"/>
      <c r="C28" s="542"/>
      <c r="D28" s="543"/>
      <c r="E28" s="48"/>
      <c r="G28" s="177"/>
      <c r="H28" s="339"/>
      <c r="I28" s="179"/>
      <c r="J28" s="179"/>
      <c r="K28" s="186"/>
    </row>
    <row r="29" spans="1:11" ht="16.5" customHeight="1">
      <c r="A29" s="451"/>
      <c r="B29" s="512" t="s">
        <v>246</v>
      </c>
      <c r="C29" s="513"/>
      <c r="D29" s="514"/>
      <c r="E29" s="48"/>
      <c r="G29" s="177"/>
      <c r="H29" s="339"/>
      <c r="I29" s="179"/>
      <c r="J29" s="179"/>
      <c r="K29" s="186"/>
    </row>
    <row r="30" spans="1:16" s="52" customFormat="1" ht="17.25" customHeight="1">
      <c r="A30" s="406"/>
      <c r="B30" s="502"/>
      <c r="C30" s="502"/>
      <c r="D30" s="503"/>
      <c r="E30" s="48"/>
      <c r="F30" s="70"/>
      <c r="G30" s="187"/>
      <c r="H30" s="341"/>
      <c r="I30" s="188"/>
      <c r="J30" s="188"/>
      <c r="K30" s="189"/>
      <c r="L30" s="190"/>
      <c r="M30" s="190"/>
      <c r="N30" s="190"/>
      <c r="O30" s="191"/>
      <c r="P30" s="191"/>
    </row>
    <row r="31" spans="1:11" ht="14.25" customHeight="1">
      <c r="A31" s="506" t="s">
        <v>92</v>
      </c>
      <c r="B31" s="516" t="s">
        <v>273</v>
      </c>
      <c r="C31" s="544">
        <f>IF(adjusted1+Rinc1&lt;0,0,adjusted1+Rinc1)</f>
        <v>0</v>
      </c>
      <c r="D31" s="544">
        <f>IF(adjusted2+Rinc2&lt;0,0,adjusted2+Rinc2)</f>
        <v>0</v>
      </c>
      <c r="E31" s="112" t="s">
        <v>97</v>
      </c>
      <c r="G31" s="177"/>
      <c r="H31" s="339"/>
      <c r="I31" s="179"/>
      <c r="J31" s="179"/>
      <c r="K31" s="186"/>
    </row>
    <row r="32" spans="1:16" s="52" customFormat="1" ht="72.75" customHeight="1">
      <c r="A32" s="507"/>
      <c r="B32" s="447"/>
      <c r="C32" s="545"/>
      <c r="D32" s="545"/>
      <c r="E32" s="368">
        <f>+Radjusted1+Radjusted2</f>
        <v>0</v>
      </c>
      <c r="F32" s="70"/>
      <c r="G32" s="187"/>
      <c r="H32" s="341"/>
      <c r="I32" s="188"/>
      <c r="J32" s="188"/>
      <c r="K32" s="192"/>
      <c r="L32" s="190"/>
      <c r="M32" s="190"/>
      <c r="N32" s="190"/>
      <c r="O32" s="191"/>
      <c r="P32" s="191"/>
    </row>
    <row r="33" spans="1:16" s="52" customFormat="1" ht="30" customHeight="1">
      <c r="A33" s="98" t="s">
        <v>93</v>
      </c>
      <c r="B33" s="252" t="s">
        <v>94</v>
      </c>
      <c r="C33" s="326">
        <f>IF(RadjustedC&gt;0,ROUND(Radjusted1/RadjustedC,4),0)</f>
        <v>0</v>
      </c>
      <c r="D33" s="326">
        <f>IF(RadjustedC&gt;0,ROUND(Radjusted2/RadjustedC,4),0)</f>
        <v>0</v>
      </c>
      <c r="E33" s="551"/>
      <c r="F33" s="70"/>
      <c r="G33" s="187"/>
      <c r="H33" s="341"/>
      <c r="I33" s="188"/>
      <c r="J33" s="188"/>
      <c r="K33" s="192"/>
      <c r="L33" s="190"/>
      <c r="M33" s="190"/>
      <c r="N33" s="190"/>
      <c r="O33" s="191"/>
      <c r="P33" s="191"/>
    </row>
    <row r="34" spans="1:16" s="52" customFormat="1" ht="46.5" customHeight="1">
      <c r="A34" s="60" t="s">
        <v>95</v>
      </c>
      <c r="B34" s="138" t="s">
        <v>371</v>
      </c>
      <c r="C34" s="369">
        <f>IF(Radjusted1-SSR&lt;0,0,ROUND(Radjusted1-SSR,2))</f>
        <v>0</v>
      </c>
      <c r="D34" s="370">
        <f>IF(Radjusted2-SSR&lt;0,0,ROUND(Radjusted2-SSR,2))</f>
        <v>0</v>
      </c>
      <c r="E34" s="552"/>
      <c r="F34" s="70"/>
      <c r="G34" s="187"/>
      <c r="H34" s="341"/>
      <c r="I34" s="193"/>
      <c r="J34" s="188"/>
      <c r="K34" s="188"/>
      <c r="L34" s="190"/>
      <c r="M34" s="190"/>
      <c r="N34" s="190"/>
      <c r="O34" s="191"/>
      <c r="P34" s="191"/>
    </row>
    <row r="35" spans="1:11" ht="12" customHeight="1">
      <c r="A35" s="30"/>
      <c r="B35" s="30"/>
      <c r="C35" s="30"/>
      <c r="D35" s="30"/>
      <c r="E35" s="30"/>
      <c r="F35" s="68"/>
      <c r="G35" s="177"/>
      <c r="H35" s="194"/>
      <c r="K35" s="176"/>
    </row>
    <row r="36" spans="1:11" ht="15.75">
      <c r="A36" s="404" t="s">
        <v>96</v>
      </c>
      <c r="B36" s="518"/>
      <c r="C36" s="518"/>
      <c r="D36" s="518"/>
      <c r="E36" s="116"/>
      <c r="F36" s="68"/>
      <c r="G36" s="418"/>
      <c r="H36" s="504"/>
      <c r="I36" s="504"/>
      <c r="J36" s="504"/>
      <c r="K36" s="176"/>
    </row>
    <row r="37" spans="1:11" ht="15" customHeight="1">
      <c r="A37" s="505" t="s">
        <v>98</v>
      </c>
      <c r="B37" s="452" t="s">
        <v>323</v>
      </c>
      <c r="C37" s="511"/>
      <c r="D37" s="453"/>
      <c r="E37" s="113" t="s">
        <v>97</v>
      </c>
      <c r="F37" s="68"/>
      <c r="G37" s="194"/>
      <c r="H37" s="195"/>
      <c r="I37" s="195"/>
      <c r="J37" s="195"/>
      <c r="K37" s="176"/>
    </row>
    <row r="38" spans="1:16" s="52" customFormat="1" ht="31.5" customHeight="1">
      <c r="A38" s="507"/>
      <c r="B38" s="454"/>
      <c r="C38" s="523"/>
      <c r="D38" s="455"/>
      <c r="E38" s="368">
        <f>ROUND(VLOOKUP(RadjustedC,scale,MIN(11,children+1),TRUE),2)</f>
        <v>0</v>
      </c>
      <c r="F38" s="70"/>
      <c r="G38" s="187"/>
      <c r="H38" s="548"/>
      <c r="I38" s="517"/>
      <c r="J38" s="517"/>
      <c r="K38" s="196"/>
      <c r="L38" s="190"/>
      <c r="M38" s="190"/>
      <c r="N38" s="190"/>
      <c r="O38" s="191"/>
      <c r="P38" s="191"/>
    </row>
    <row r="39" spans="1:16" s="52" customFormat="1" ht="15.75" customHeight="1">
      <c r="A39" s="505" t="s">
        <v>99</v>
      </c>
      <c r="B39" s="546" t="s">
        <v>286</v>
      </c>
      <c r="C39" s="163" t="str">
        <f>+IF(ISBLANK(pname1),"",pname1)</f>
        <v>name</v>
      </c>
      <c r="D39" s="163" t="str">
        <f>+IF(ISBLANK(pname2),"",pname2)</f>
        <v>name</v>
      </c>
      <c r="E39" s="531"/>
      <c r="F39" s="70"/>
      <c r="G39" s="187"/>
      <c r="H39" s="344"/>
      <c r="I39" s="345"/>
      <c r="J39" s="345"/>
      <c r="K39" s="196"/>
      <c r="L39" s="190"/>
      <c r="M39" s="190"/>
      <c r="N39" s="190"/>
      <c r="O39" s="191"/>
      <c r="P39" s="191"/>
    </row>
    <row r="40" spans="1:16" s="52" customFormat="1" ht="45" customHeight="1">
      <c r="A40" s="507"/>
      <c r="B40" s="547"/>
      <c r="C40" s="369">
        <f>+IF(RbasicC*Rincpct1&lt;Rincavailsupport1,ROUND(RbasicC*Rincpct1,2),Rincavailsupport1)</f>
        <v>0</v>
      </c>
      <c r="D40" s="370">
        <f>+IF(RbasicC*Rincpct2&lt;Rincavailsupport2,ROUND(RbasicC*Rincpct2,2),Rincavailsupport2)</f>
        <v>0</v>
      </c>
      <c r="E40" s="532"/>
      <c r="F40" s="70"/>
      <c r="G40" s="187"/>
      <c r="H40" s="413"/>
      <c r="I40" s="517"/>
      <c r="J40" s="517"/>
      <c r="K40" s="197"/>
      <c r="L40" s="190"/>
      <c r="M40" s="190"/>
      <c r="N40" s="190"/>
      <c r="O40" s="191"/>
      <c r="P40" s="191"/>
    </row>
    <row r="41" spans="1:11" ht="12.75" customHeight="1">
      <c r="A41" s="530"/>
      <c r="B41" s="530"/>
      <c r="C41" s="530"/>
      <c r="D41" s="530"/>
      <c r="E41" s="530"/>
      <c r="F41" s="73"/>
      <c r="G41" s="177"/>
      <c r="H41" s="194"/>
      <c r="I41" s="180"/>
      <c r="J41" s="180"/>
      <c r="K41" s="198"/>
    </row>
    <row r="42" spans="1:11" ht="15.75">
      <c r="A42" s="404" t="s">
        <v>100</v>
      </c>
      <c r="B42" s="534"/>
      <c r="C42" s="534"/>
      <c r="D42" s="534"/>
      <c r="E42" s="29"/>
      <c r="F42" s="73"/>
      <c r="G42" s="418"/>
      <c r="H42" s="504"/>
      <c r="I42" s="504"/>
      <c r="J42" s="504"/>
      <c r="K42" s="198"/>
    </row>
    <row r="43" spans="1:11" ht="13.5" customHeight="1">
      <c r="A43" s="50"/>
      <c r="B43" s="51"/>
      <c r="C43" s="163" t="str">
        <f>+IF(ISBLANK(pname1),"",pname1)</f>
        <v>name</v>
      </c>
      <c r="D43" s="163" t="str">
        <f>+IF(ISBLANK(pname2),"",pname2)</f>
        <v>name</v>
      </c>
      <c r="E43" s="133" t="s">
        <v>206</v>
      </c>
      <c r="F43" s="73"/>
      <c r="G43" s="338"/>
      <c r="H43" s="342"/>
      <c r="I43" s="342"/>
      <c r="J43" s="342"/>
      <c r="K43" s="198"/>
    </row>
    <row r="44" spans="1:16" s="52" customFormat="1" ht="58.5" customHeight="1">
      <c r="A44" s="55" t="s">
        <v>101</v>
      </c>
      <c r="B44" s="139" t="s">
        <v>274</v>
      </c>
      <c r="C44" s="366">
        <f>+ccoop1</f>
        <v>0</v>
      </c>
      <c r="D44" s="366">
        <f>+ccoop2</f>
        <v>0</v>
      </c>
      <c r="E44" s="366">
        <f>+ccoopctr</f>
        <v>0</v>
      </c>
      <c r="F44" s="70"/>
      <c r="G44" s="187"/>
      <c r="H44" s="341"/>
      <c r="I44" s="200"/>
      <c r="J44" s="200"/>
      <c r="K44" s="200"/>
      <c r="L44" s="190"/>
      <c r="M44" s="190"/>
      <c r="N44" s="190"/>
      <c r="O44" s="191"/>
      <c r="P44" s="191"/>
    </row>
    <row r="45" spans="1:16" s="52" customFormat="1" ht="45" customHeight="1">
      <c r="A45" s="55" t="s">
        <v>103</v>
      </c>
      <c r="B45" s="138" t="s">
        <v>214</v>
      </c>
      <c r="C45" s="369">
        <f>+Rincavailsupport1-RbasicSSR1</f>
        <v>0</v>
      </c>
      <c r="D45" s="370">
        <f>+Rincavailsupport2-RbasicSSR2</f>
        <v>0</v>
      </c>
      <c r="E45" s="80"/>
      <c r="F45" s="70"/>
      <c r="G45" s="187"/>
      <c r="H45" s="341"/>
      <c r="I45" s="200"/>
      <c r="J45" s="200"/>
      <c r="K45" s="200"/>
      <c r="L45" s="190"/>
      <c r="M45" s="190"/>
      <c r="N45" s="190"/>
      <c r="O45" s="191"/>
      <c r="P45" s="191"/>
    </row>
    <row r="46" spans="1:16" s="52" customFormat="1" ht="20.25" customHeight="1">
      <c r="A46" s="505" t="s">
        <v>104</v>
      </c>
      <c r="B46" s="546" t="s">
        <v>275</v>
      </c>
      <c r="C46" s="535">
        <f>IF(Rincpct1*(Rccoop1+Rccoop2+Rccoopctr)&lt;Rincavailableccc1,Rincpct1*(Rccoop1+Rccoop2+Rccoopctr),Rincavailableccc1)</f>
        <v>0</v>
      </c>
      <c r="D46" s="535">
        <f>IF(Rincpct2*(Rccoop1+Rccoop2+Rccoopctr)&lt;Rincavailableccc2,Rincpct2*(Rccoop1+Rccoop2+Rccoopctr),Rincavailableccc2)</f>
        <v>0</v>
      </c>
      <c r="E46" s="371"/>
      <c r="F46" s="70"/>
      <c r="G46" s="187"/>
      <c r="H46" s="341"/>
      <c r="I46" s="200"/>
      <c r="J46" s="200"/>
      <c r="K46" s="200"/>
      <c r="L46" s="190"/>
      <c r="M46" s="190"/>
      <c r="N46" s="190"/>
      <c r="O46" s="191"/>
      <c r="P46" s="191"/>
    </row>
    <row r="47" spans="1:16" s="52" customFormat="1" ht="39" customHeight="1">
      <c r="A47" s="507"/>
      <c r="B47" s="547"/>
      <c r="C47" s="536"/>
      <c r="D47" s="536"/>
      <c r="E47" s="80"/>
      <c r="F47" s="70"/>
      <c r="G47" s="187"/>
      <c r="H47" s="341"/>
      <c r="I47" s="200"/>
      <c r="J47" s="200"/>
      <c r="K47" s="200"/>
      <c r="L47" s="190"/>
      <c r="M47" s="190"/>
      <c r="N47" s="190"/>
      <c r="O47" s="191"/>
      <c r="P47" s="191"/>
    </row>
    <row r="48" spans="1:16" s="52" customFormat="1" ht="45" customHeight="1">
      <c r="A48" s="55" t="s">
        <v>105</v>
      </c>
      <c r="B48" s="138" t="s">
        <v>276</v>
      </c>
      <c r="C48" s="369">
        <f>+ROUND(Rccoopshare1+RbasicSSR1,2)</f>
        <v>0</v>
      </c>
      <c r="D48" s="369">
        <f>+ROUND(Rccoopshare2+RbasicSSR2,2)</f>
        <v>0</v>
      </c>
      <c r="E48" s="99"/>
      <c r="F48" s="74"/>
      <c r="G48" s="187"/>
      <c r="H48" s="341"/>
      <c r="I48" s="188"/>
      <c r="J48" s="188"/>
      <c r="K48" s="201"/>
      <c r="L48" s="190"/>
      <c r="M48" s="190"/>
      <c r="N48" s="190"/>
      <c r="O48" s="191"/>
      <c r="P48" s="191"/>
    </row>
    <row r="49" spans="1:8" ht="12" customHeight="1">
      <c r="A49" s="515"/>
      <c r="B49" s="515"/>
      <c r="C49" s="515"/>
      <c r="D49" s="515"/>
      <c r="E49" s="515"/>
      <c r="F49" s="68"/>
      <c r="G49" s="177"/>
      <c r="H49" s="194"/>
    </row>
    <row r="50" spans="1:11" ht="15.75">
      <c r="A50" s="404" t="s">
        <v>106</v>
      </c>
      <c r="B50" s="534"/>
      <c r="C50" s="534"/>
      <c r="D50" s="534"/>
      <c r="E50" s="27"/>
      <c r="F50" s="68"/>
      <c r="G50" s="418"/>
      <c r="H50" s="504"/>
      <c r="I50" s="504"/>
      <c r="J50" s="504"/>
      <c r="K50" s="176"/>
    </row>
    <row r="51" spans="1:11" ht="14.25" customHeight="1">
      <c r="A51" s="43"/>
      <c r="B51" s="45"/>
      <c r="C51" s="163" t="str">
        <f>+IF(ISBLANK(pname1),"",pname1)</f>
        <v>name</v>
      </c>
      <c r="D51" s="163" t="str">
        <f>+IF(ISBLANK(pname2),"",pname2)</f>
        <v>name</v>
      </c>
      <c r="E51" s="133" t="s">
        <v>206</v>
      </c>
      <c r="F51" s="68"/>
      <c r="G51" s="338"/>
      <c r="H51" s="342"/>
      <c r="I51" s="342"/>
      <c r="J51" s="342"/>
      <c r="K51" s="176"/>
    </row>
    <row r="52" spans="1:16" s="52" customFormat="1" ht="17.25" customHeight="1">
      <c r="A52" s="131" t="s">
        <v>107</v>
      </c>
      <c r="B52" s="257" t="s">
        <v>108</v>
      </c>
      <c r="C52" s="367"/>
      <c r="D52" s="367"/>
      <c r="E52" s="354"/>
      <c r="F52" s="69"/>
      <c r="G52" s="187"/>
      <c r="H52" s="341"/>
      <c r="I52" s="188"/>
      <c r="J52" s="188"/>
      <c r="K52" s="188"/>
      <c r="L52" s="190"/>
      <c r="M52" s="190"/>
      <c r="N52" s="190"/>
      <c r="O52" s="191"/>
      <c r="P52" s="191"/>
    </row>
    <row r="53" spans="1:16" s="52" customFormat="1" ht="15" customHeight="1">
      <c r="A53" s="505" t="s">
        <v>109</v>
      </c>
      <c r="B53" s="573" t="s">
        <v>197</v>
      </c>
      <c r="C53" s="573"/>
      <c r="D53" s="574"/>
      <c r="E53" s="71"/>
      <c r="F53" s="70"/>
      <c r="G53" s="187"/>
      <c r="H53" s="341"/>
      <c r="I53" s="188"/>
      <c r="J53" s="188"/>
      <c r="K53" s="189"/>
      <c r="L53" s="190"/>
      <c r="M53" s="190"/>
      <c r="N53" s="190"/>
      <c r="O53" s="191"/>
      <c r="P53" s="191"/>
    </row>
    <row r="54" spans="1:16" s="52" customFormat="1" ht="29.25" customHeight="1">
      <c r="A54" s="506"/>
      <c r="B54" s="542"/>
      <c r="C54" s="542"/>
      <c r="D54" s="543"/>
      <c r="E54" s="584"/>
      <c r="F54" s="70"/>
      <c r="G54" s="187"/>
      <c r="H54" s="341"/>
      <c r="I54" s="188"/>
      <c r="J54" s="188"/>
      <c r="K54" s="189"/>
      <c r="L54" s="190"/>
      <c r="M54" s="190"/>
      <c r="N54" s="190"/>
      <c r="O54" s="191"/>
      <c r="P54" s="191"/>
    </row>
    <row r="55" spans="1:16" s="52" customFormat="1" ht="18" customHeight="1">
      <c r="A55" s="506"/>
      <c r="B55" s="512" t="s">
        <v>246</v>
      </c>
      <c r="C55" s="513"/>
      <c r="D55" s="514"/>
      <c r="E55" s="584"/>
      <c r="F55" s="70"/>
      <c r="G55" s="187"/>
      <c r="H55" s="341"/>
      <c r="I55" s="188"/>
      <c r="J55" s="188"/>
      <c r="K55" s="189"/>
      <c r="L55" s="190"/>
      <c r="M55" s="190"/>
      <c r="N55" s="190"/>
      <c r="O55" s="191"/>
      <c r="P55" s="191"/>
    </row>
    <row r="56" spans="1:16" s="52" customFormat="1" ht="17.25" customHeight="1">
      <c r="A56" s="507"/>
      <c r="B56" s="502"/>
      <c r="C56" s="502"/>
      <c r="D56" s="503"/>
      <c r="E56" s="584"/>
      <c r="F56" s="70"/>
      <c r="G56" s="187"/>
      <c r="H56" s="341"/>
      <c r="I56" s="188"/>
      <c r="J56" s="188"/>
      <c r="K56" s="189"/>
      <c r="L56" s="190"/>
      <c r="M56" s="190"/>
      <c r="N56" s="190"/>
      <c r="O56" s="191"/>
      <c r="P56" s="191"/>
    </row>
    <row r="57" spans="1:16" s="52" customFormat="1" ht="60" customHeight="1">
      <c r="A57" s="57" t="s">
        <v>110</v>
      </c>
      <c r="B57" s="140" t="s">
        <v>248</v>
      </c>
      <c r="C57" s="369">
        <f>+Rincavailsupport1-RCSafterCCC1</f>
        <v>0</v>
      </c>
      <c r="D57" s="370">
        <f>+Rincavailsupport2-RCSafterCCC2</f>
        <v>0</v>
      </c>
      <c r="E57" s="585"/>
      <c r="F57" s="70"/>
      <c r="G57" s="187"/>
      <c r="H57" s="341"/>
      <c r="I57" s="188"/>
      <c r="J57" s="188"/>
      <c r="K57" s="202"/>
      <c r="L57" s="190"/>
      <c r="M57" s="190"/>
      <c r="N57" s="190"/>
      <c r="O57" s="191"/>
      <c r="P57" s="191"/>
    </row>
    <row r="58" spans="1:16" s="52" customFormat="1" ht="15" customHeight="1">
      <c r="A58" s="505" t="s">
        <v>111</v>
      </c>
      <c r="B58" s="546" t="s">
        <v>277</v>
      </c>
      <c r="C58" s="544">
        <f>ROUND(IF(Rincpct1*totalparentssscosts&lt;Rincavailspeccosts1,Rincpct1*totalparentssscosts,Rincavailspeccosts1),2)</f>
        <v>0</v>
      </c>
      <c r="D58" s="544">
        <f>ROUND(IF(Rincpct2*totalparentssscosts&lt;Rincavailspeccosts2,Rincpct2*totalparentssscosts,Rincavailspeccosts2),2)</f>
        <v>0</v>
      </c>
      <c r="E58" s="114" t="s">
        <v>97</v>
      </c>
      <c r="F58" s="70"/>
      <c r="G58" s="187"/>
      <c r="H58" s="341"/>
      <c r="I58" s="188"/>
      <c r="J58" s="188"/>
      <c r="K58" s="202"/>
      <c r="L58" s="190"/>
      <c r="M58" s="190"/>
      <c r="N58" s="190"/>
      <c r="O58" s="191"/>
      <c r="P58" s="191"/>
    </row>
    <row r="59" spans="1:16" s="52" customFormat="1" ht="59.25" customHeight="1">
      <c r="A59" s="507"/>
      <c r="B59" s="547"/>
      <c r="C59" s="545"/>
      <c r="D59" s="545"/>
      <c r="E59" s="370">
        <f>+Speccostspaid1+Speccostspaid2+Speccostspaidctr</f>
        <v>0</v>
      </c>
      <c r="F59" s="70"/>
      <c r="G59" s="187"/>
      <c r="H59" s="341"/>
      <c r="I59" s="188"/>
      <c r="J59" s="188"/>
      <c r="K59" s="202"/>
      <c r="L59" s="190"/>
      <c r="M59" s="190"/>
      <c r="N59" s="190"/>
      <c r="O59" s="191"/>
      <c r="P59" s="191"/>
    </row>
    <row r="60" spans="1:16" s="52" customFormat="1" ht="45.75" customHeight="1">
      <c r="A60" s="55" t="s">
        <v>112</v>
      </c>
      <c r="B60" s="138" t="s">
        <v>113</v>
      </c>
      <c r="C60" s="369">
        <f>+ROUND(Parentssscosts1+RCSafterCCC1,2)</f>
        <v>0</v>
      </c>
      <c r="D60" s="370">
        <f>+ROUND(Parentssscosts2+RCSafterCCC2,2)</f>
        <v>0</v>
      </c>
      <c r="E60" s="79"/>
      <c r="F60" s="70"/>
      <c r="G60" s="187"/>
      <c r="H60" s="341"/>
      <c r="I60" s="188"/>
      <c r="J60" s="188"/>
      <c r="K60" s="202"/>
      <c r="L60" s="190"/>
      <c r="M60" s="190"/>
      <c r="N60" s="190"/>
      <c r="O60" s="191"/>
      <c r="P60" s="191"/>
    </row>
    <row r="61" spans="1:11" ht="14.25" customHeight="1">
      <c r="A61" s="515"/>
      <c r="B61" s="515"/>
      <c r="C61" s="515"/>
      <c r="D61" s="515"/>
      <c r="E61" s="515"/>
      <c r="F61" s="68"/>
      <c r="G61" s="177"/>
      <c r="H61" s="194"/>
      <c r="K61" s="198"/>
    </row>
    <row r="62" spans="1:11" ht="15.75">
      <c r="A62" s="432" t="s">
        <v>114</v>
      </c>
      <c r="B62" s="562"/>
      <c r="C62" s="562"/>
      <c r="D62" s="562"/>
      <c r="E62" s="29"/>
      <c r="F62" s="68"/>
      <c r="G62" s="418"/>
      <c r="H62" s="504"/>
      <c r="I62" s="504"/>
      <c r="J62" s="504"/>
      <c r="K62" s="198"/>
    </row>
    <row r="63" spans="1:11" ht="13.5" customHeight="1">
      <c r="A63" s="44"/>
      <c r="B63" s="46"/>
      <c r="C63" s="163" t="str">
        <f>+IF(ISBLANK(pname1),"",pname1)</f>
        <v>name</v>
      </c>
      <c r="D63" s="163" t="str">
        <f>+IF(ISBLANK(pname2),"",pname2)</f>
        <v>name</v>
      </c>
      <c r="E63" s="100"/>
      <c r="F63" s="68"/>
      <c r="G63" s="338"/>
      <c r="H63" s="342" t="s">
        <v>225</v>
      </c>
      <c r="I63" s="342"/>
      <c r="J63" s="342"/>
      <c r="K63" s="198"/>
    </row>
    <row r="64" spans="1:16" s="52" customFormat="1" ht="58.5" customHeight="1">
      <c r="A64" s="55" t="s">
        <v>115</v>
      </c>
      <c r="B64" s="139" t="s">
        <v>278</v>
      </c>
      <c r="C64" s="372">
        <f>+premium1</f>
        <v>0</v>
      </c>
      <c r="D64" s="372">
        <f>+premium2</f>
        <v>0</v>
      </c>
      <c r="E64" s="101"/>
      <c r="F64" s="70"/>
      <c r="G64" s="203"/>
      <c r="H64" s="204"/>
      <c r="I64" s="203"/>
      <c r="J64" s="203"/>
      <c r="K64" s="203"/>
      <c r="L64" s="203"/>
      <c r="M64" s="203"/>
      <c r="N64" s="203"/>
      <c r="O64" s="191"/>
      <c r="P64" s="191"/>
    </row>
    <row r="65" spans="1:16" s="52" customFormat="1" ht="44.25" customHeight="1">
      <c r="A65" s="55" t="s">
        <v>116</v>
      </c>
      <c r="B65" s="138" t="s">
        <v>249</v>
      </c>
      <c r="C65" s="369">
        <f>+Rincavailsupport1-Suppoblafterspeccosts1</f>
        <v>0</v>
      </c>
      <c r="D65" s="370">
        <f>+Rincavailsupport2-Suppoblafterspeccosts2</f>
        <v>0</v>
      </c>
      <c r="E65" s="64"/>
      <c r="F65" s="70"/>
      <c r="G65" s="203"/>
      <c r="H65" s="205" t="s">
        <v>191</v>
      </c>
      <c r="I65" s="203"/>
      <c r="J65" s="203"/>
      <c r="K65" s="204" t="b">
        <f>IF(NOT(ISNUMBER(premium1)),FALSE,AND(OR(income1&gt;minwage,premium1=0),OR(premium1&lt;=RtotalRIC)))</f>
        <v>0</v>
      </c>
      <c r="L65" s="204" t="b">
        <f>IF(NOT(ISNUMBER(premium2)),FALSE,AND(OR(income2&gt;minwage,premium2=0),OR(premium2&lt;=RtotalRIC)))</f>
        <v>0</v>
      </c>
      <c r="M65" s="203"/>
      <c r="N65" s="203"/>
      <c r="O65" s="191"/>
      <c r="P65" s="191"/>
    </row>
    <row r="66" spans="1:16" s="52" customFormat="1" ht="14.25" customHeight="1">
      <c r="A66" s="505" t="s">
        <v>117</v>
      </c>
      <c r="B66" s="519" t="s">
        <v>365</v>
      </c>
      <c r="C66" s="544">
        <f>IF(income1&gt;minwage,ROUND(IF(Radjusted1*0.04&lt;RincavailHCC1,Radjusted1*0.04,RincavailHCC1),0),0)</f>
        <v>0</v>
      </c>
      <c r="D66" s="544">
        <f>IF(income2&gt;minwage,ROUND(IF(Radjusted2*0.04&lt;RincavailHCC2,Radjusted2*0.04,RincavailHCC2),0),0)</f>
        <v>0</v>
      </c>
      <c r="E66" s="114" t="s">
        <v>97</v>
      </c>
      <c r="F66" s="70"/>
      <c r="G66" s="206" t="s">
        <v>182</v>
      </c>
      <c r="H66" s="207" t="s">
        <v>184</v>
      </c>
      <c r="I66" s="207" t="s">
        <v>181</v>
      </c>
      <c r="J66" s="207" t="s">
        <v>185</v>
      </c>
      <c r="K66" s="207" t="s">
        <v>186</v>
      </c>
      <c r="L66" s="207" t="s">
        <v>183</v>
      </c>
      <c r="M66" s="168"/>
      <c r="N66" s="168"/>
      <c r="O66" s="191"/>
      <c r="P66" s="191"/>
    </row>
    <row r="67" spans="1:16" s="52" customFormat="1" ht="72.75" customHeight="1">
      <c r="A67" s="507"/>
      <c r="B67" s="520"/>
      <c r="C67" s="545"/>
      <c r="D67" s="545"/>
      <c r="E67" s="370">
        <f>+ROUND(Rric1+Rric2,0)</f>
        <v>0</v>
      </c>
      <c r="F67" s="70"/>
      <c r="G67" s="206" t="s">
        <v>187</v>
      </c>
      <c r="H67" s="204" t="b">
        <f>IF(OR(NOT(ISNUMBER(premium1)),NOT(ISNUMBER(premium2))),FALSE,AND(OR(AND(ISNUMBER(premium1),OR(AND(income1&gt;minwage,premium1&lt;=RtotalRIC),premium1=0))),OR(AND(ISNUMBER(premium2),OR(AND(income2&gt;minwage,premium2&lt;=RtotalRIC),premium2=0)))))</f>
        <v>0</v>
      </c>
      <c r="I67" s="204" t="b">
        <f>ABS(J67+K67)=0</f>
        <v>1</v>
      </c>
      <c r="J67" s="204" t="b">
        <f>IF(NOT(ISNUMBER(premium1)),FALSE,AND(OR(income1&gt;minwage,premium1=0),OR(premium1&lt;=RtotalRIC,Rcompellingfactors?="Yes")))</f>
        <v>0</v>
      </c>
      <c r="K67" s="204" t="b">
        <f>IF(NOT(ISNUMBER(premium2)),FALSE,AND(OR(income2&gt;minwage,premium2=0),OR(premium2&lt;=RtotalRIC,Rcompellingfactors?="Yes")))</f>
        <v>0</v>
      </c>
      <c r="L67" s="204" t="b">
        <f>IF(OR(NOT(ISNUMBER(premium1)),NOT(ISNUMBER(premium2))),FALSE,AND(OR(income1&gt;minwage,premium1=0),OR(income2&gt;minwage,premium2=0),OR(premium1+premium2&lt;=RtotalRIC,Rcompellingfactors?="Yes")))</f>
        <v>0</v>
      </c>
      <c r="M67" s="168"/>
      <c r="N67" s="168"/>
      <c r="O67" s="191"/>
      <c r="P67" s="191"/>
    </row>
    <row r="68" spans="1:16" s="52" customFormat="1" ht="100.5" customHeight="1">
      <c r="A68" s="55" t="s">
        <v>128</v>
      </c>
      <c r="B68" s="273" t="s">
        <v>366</v>
      </c>
      <c r="C68" s="559" t="str">
        <f>IF(LEN(R_Both_Can_Provide)&gt;0,R_Both_Can_Provide,IF(LEN(R_Either_Can_Provide)&gt;0,R_Either_Can_Provide,IF(LEN(R_ParentA_Can_Provide)&gt;0,R_ParentA_Can_Provide,IF(LEN(R_ParentB_Can_Provide)&gt;0,R_ParentB_Can_Provide,"Neither parent"))))</f>
        <v>Neither parent</v>
      </c>
      <c r="D68" s="560"/>
      <c r="E68" s="561"/>
      <c r="F68" s="70"/>
      <c r="G68" s="206" t="s">
        <v>188</v>
      </c>
      <c r="H68" s="204">
        <f>IF(H67,pname1&amp;" or "&amp;pname2,"")</f>
      </c>
      <c r="I68" s="204" t="str">
        <f>IF(I67,R_either_parent_when_available,"")</f>
        <v>Either parent when available</v>
      </c>
      <c r="J68" s="204">
        <f>IF(J67,pname1,"")</f>
      </c>
      <c r="K68" s="204">
        <f>IF(K67,pname2,"")</f>
      </c>
      <c r="L68" s="204">
        <f>IF(L67,pname1&amp;" and "&amp;pname2,"")</f>
      </c>
      <c r="M68" s="168" t="s">
        <v>359</v>
      </c>
      <c r="N68" s="168"/>
      <c r="O68" s="191"/>
      <c r="P68" s="191"/>
    </row>
    <row r="69" spans="1:16" s="52" customFormat="1" ht="102" customHeight="1" thickBot="1">
      <c r="A69" s="55" t="s">
        <v>129</v>
      </c>
      <c r="B69" s="273" t="s">
        <v>367</v>
      </c>
      <c r="C69" s="575" t="s">
        <v>358</v>
      </c>
      <c r="D69" s="576"/>
      <c r="E69" s="577"/>
      <c r="F69" s="70"/>
      <c r="G69" s="206" t="s">
        <v>189</v>
      </c>
      <c r="H69" s="208"/>
      <c r="I69" s="209" t="str">
        <f>I68</f>
        <v>Either parent when available</v>
      </c>
      <c r="J69" s="209">
        <f>J68</f>
      </c>
      <c r="K69" s="209">
        <f>K68</f>
      </c>
      <c r="L69" s="204">
        <f>L68</f>
      </c>
      <c r="M69" s="210" t="s">
        <v>192</v>
      </c>
      <c r="N69" s="168"/>
      <c r="O69" s="191"/>
      <c r="P69" s="191"/>
    </row>
    <row r="70" spans="1:16" s="52" customFormat="1" ht="17.25" customHeight="1" thickBot="1">
      <c r="A70" s="505" t="s">
        <v>130</v>
      </c>
      <c r="B70" s="445" t="s">
        <v>300</v>
      </c>
      <c r="C70" s="567"/>
      <c r="D70" s="568"/>
      <c r="E70" s="113" t="s">
        <v>97</v>
      </c>
      <c r="F70" s="70"/>
      <c r="G70" s="206" t="s">
        <v>190</v>
      </c>
      <c r="H70" s="211"/>
      <c r="I70" s="212" t="str">
        <f>IF(K69="",IF(J69="",I69,J69),K69)</f>
        <v>Either parent when available</v>
      </c>
      <c r="J70" s="213">
        <f>IF(AND(K69="",J69=""),"",IF(K69="","",J69))</f>
      </c>
      <c r="K70" s="214">
        <f>+L69</f>
      </c>
      <c r="L70" s="215"/>
      <c r="M70" s="216">
        <f>IF(RWhoWillProvide="",0,IF(RWhoWillProvide=R_Both_Can_Provide,Rpremium1+Rpremium2,IF(RWhoWillProvide=R_ParentA_Can_Provide,Rpremium1,IF(RWhoWillProvide=R_ParentB_Can_Provide,Rpremium2,0))))</f>
        <v>0</v>
      </c>
      <c r="N70" s="210">
        <f>+C71</f>
        <v>0</v>
      </c>
      <c r="O70" s="191"/>
      <c r="P70" s="191"/>
    </row>
    <row r="71" spans="1:16" s="52" customFormat="1" ht="69.75" customHeight="1">
      <c r="A71" s="507"/>
      <c r="B71" s="447"/>
      <c r="C71" s="569"/>
      <c r="D71" s="570"/>
      <c r="E71" s="370">
        <f>IF(RWhoWillProvide="",0,IF(RWhoWillProvide=R_Both_Can_Provide,Rpremium1+Rpremium2,IF(RWhoWillProvide=R_ParentA_Can_Provide,Rpremium1,IF(RWhoWillProvide=R_ParentB_Can_Provide,Rpremium2,0))))</f>
        <v>0</v>
      </c>
      <c r="F71" s="70"/>
      <c r="G71" s="168"/>
      <c r="H71" s="168"/>
      <c r="I71" s="168"/>
      <c r="J71" s="168"/>
      <c r="K71" s="168"/>
      <c r="L71" s="168"/>
      <c r="M71" s="168"/>
      <c r="N71" s="168"/>
      <c r="O71" s="191"/>
      <c r="P71" s="191"/>
    </row>
    <row r="72" spans="1:16" s="52" customFormat="1" ht="44.25" customHeight="1">
      <c r="A72" s="57" t="s">
        <v>131</v>
      </c>
      <c r="B72" s="140" t="s">
        <v>250</v>
      </c>
      <c r="C72" s="327">
        <f>IF(RtotalRIC&gt;0,ROUND(Rric1/RtotalRIC,4),0)</f>
        <v>0</v>
      </c>
      <c r="D72" s="328">
        <f>IF(RtotalRIC&gt;0,ROUND(Rric2/RtotalRIC,4),0)</f>
        <v>0</v>
      </c>
      <c r="E72" s="54"/>
      <c r="F72" s="70"/>
      <c r="G72" s="412"/>
      <c r="H72" s="412"/>
      <c r="I72" s="412"/>
      <c r="J72" s="412"/>
      <c r="K72" s="186"/>
      <c r="L72" s="170"/>
      <c r="M72" s="170"/>
      <c r="N72" s="170"/>
      <c r="O72" s="191"/>
      <c r="P72" s="191"/>
    </row>
    <row r="73" spans="1:16" s="52" customFormat="1" ht="60" customHeight="1">
      <c r="A73" s="131" t="s">
        <v>132</v>
      </c>
      <c r="B73" s="257" t="s">
        <v>251</v>
      </c>
      <c r="C73" s="369">
        <f>+ROUND(RHCCtotal*Rhccpct1,2)</f>
        <v>0</v>
      </c>
      <c r="D73" s="370">
        <f>+ROUND(RHCCtotal*Rhccpct2,2)</f>
        <v>0</v>
      </c>
      <c r="E73" s="54"/>
      <c r="F73" s="70"/>
      <c r="G73" s="187"/>
      <c r="H73" s="341"/>
      <c r="I73" s="188"/>
      <c r="J73" s="188"/>
      <c r="K73" s="190"/>
      <c r="L73" s="190"/>
      <c r="M73" s="190"/>
      <c r="N73" s="190"/>
      <c r="O73" s="191"/>
      <c r="P73" s="191"/>
    </row>
    <row r="74" spans="1:16" s="52" customFormat="1" ht="60.75" customHeight="1">
      <c r="A74" s="55" t="s">
        <v>133</v>
      </c>
      <c r="B74" s="139" t="s">
        <v>252</v>
      </c>
      <c r="C74" s="369">
        <f>+Rhccshare1+Suppoblafterspeccosts1</f>
        <v>0</v>
      </c>
      <c r="D74" s="370">
        <f>+Rhccshare2+Suppoblafterspeccosts2</f>
        <v>0</v>
      </c>
      <c r="E74" s="54"/>
      <c r="F74" s="70"/>
      <c r="G74" s="187"/>
      <c r="H74" s="341"/>
      <c r="I74" s="188"/>
      <c r="J74" s="188"/>
      <c r="K74" s="190"/>
      <c r="L74" s="190"/>
      <c r="M74" s="190"/>
      <c r="N74" s="190"/>
      <c r="O74" s="191"/>
      <c r="P74" s="191"/>
    </row>
    <row r="75" spans="1:10" ht="6.75" customHeight="1">
      <c r="A75" s="530"/>
      <c r="B75" s="530"/>
      <c r="C75" s="530"/>
      <c r="D75" s="530"/>
      <c r="G75" s="177"/>
      <c r="H75" s="217"/>
      <c r="I75" s="180"/>
      <c r="J75" s="180"/>
    </row>
    <row r="76" spans="1:10" ht="15.75" customHeight="1">
      <c r="A76" s="438" t="s">
        <v>134</v>
      </c>
      <c r="B76" s="563"/>
      <c r="C76" s="563"/>
      <c r="D76" s="563"/>
      <c r="F76" s="68"/>
      <c r="G76" s="419"/>
      <c r="H76" s="571"/>
      <c r="I76" s="571"/>
      <c r="J76" s="571"/>
    </row>
    <row r="77" spans="1:10" ht="28.5" customHeight="1">
      <c r="A77" s="564"/>
      <c r="B77" s="564"/>
      <c r="C77" s="430" t="s">
        <v>222</v>
      </c>
      <c r="D77" s="540"/>
      <c r="E77" s="102"/>
      <c r="F77" s="68"/>
      <c r="G77" s="340"/>
      <c r="H77" s="343"/>
      <c r="I77" s="343"/>
      <c r="J77" s="343"/>
    </row>
    <row r="78" spans="1:10" ht="162" customHeight="1">
      <c r="A78" s="98" t="s">
        <v>135</v>
      </c>
      <c r="B78" s="274" t="s">
        <v>350</v>
      </c>
      <c r="C78" s="565"/>
      <c r="D78" s="566"/>
      <c r="E78" s="106"/>
      <c r="G78" s="177"/>
      <c r="H78" s="218"/>
      <c r="I78" s="219"/>
      <c r="J78" s="219"/>
    </row>
    <row r="79" spans="1:8" ht="15" customHeight="1">
      <c r="A79" s="505" t="s">
        <v>215</v>
      </c>
      <c r="B79" s="538" t="s">
        <v>351</v>
      </c>
      <c r="C79" s="163" t="str">
        <f>+IF(ISBLANK(pname1),"",pname1)</f>
        <v>name</v>
      </c>
      <c r="D79" s="163" t="str">
        <f>+IF(ISBLANK(pname2),"",pname2)</f>
        <v>name</v>
      </c>
      <c r="E79" s="97"/>
      <c r="F79" s="68"/>
      <c r="G79" s="177"/>
      <c r="H79" s="194"/>
    </row>
    <row r="80" spans="1:8" ht="102" customHeight="1">
      <c r="A80" s="507"/>
      <c r="B80" s="539"/>
      <c r="C80" s="369">
        <f>IF(Rcmelection?="y",Rric1,IF(Rcmelection?="n",0,IF(Rcmelection?="c",Rric1,0)))</f>
        <v>0</v>
      </c>
      <c r="D80" s="370">
        <f>IF(Rcmelection?="y",Rric2,IF(Rcmelection?="n",0,IF(Rcmelection?="c",Rric2,0)))</f>
        <v>0</v>
      </c>
      <c r="E80" s="97"/>
      <c r="F80" s="68"/>
      <c r="G80" s="177"/>
      <c r="H80" s="194"/>
    </row>
    <row r="81" spans="1:8" ht="12" customHeight="1">
      <c r="A81" s="103"/>
      <c r="B81" s="104"/>
      <c r="C81" s="97"/>
      <c r="D81" s="97"/>
      <c r="E81" s="97"/>
      <c r="F81" s="68"/>
      <c r="G81" s="177"/>
      <c r="H81" s="194"/>
    </row>
    <row r="82" spans="1:10" ht="15.75">
      <c r="A82" s="404" t="s">
        <v>136</v>
      </c>
      <c r="B82" s="534"/>
      <c r="C82" s="534"/>
      <c r="D82" s="534"/>
      <c r="F82" s="68"/>
      <c r="G82" s="418"/>
      <c r="H82" s="504"/>
      <c r="I82" s="504"/>
      <c r="J82" s="504"/>
    </row>
    <row r="83" spans="1:10" ht="25.5" customHeight="1">
      <c r="A83" s="50"/>
      <c r="B83" s="51"/>
      <c r="C83" s="163" t="str">
        <f>+IF(ISBLANK(pname1),"",pname1)</f>
        <v>name</v>
      </c>
      <c r="D83" s="163" t="str">
        <f>+IF(ISBLANK(pname2),"",pname2)</f>
        <v>name</v>
      </c>
      <c r="E83" s="105" t="s">
        <v>279</v>
      </c>
      <c r="F83" s="68"/>
      <c r="G83" s="338"/>
      <c r="H83" s="342"/>
      <c r="I83" s="342"/>
      <c r="J83" s="342"/>
    </row>
    <row r="84" spans="1:10" ht="45" customHeight="1">
      <c r="A84" s="55" t="s">
        <v>137</v>
      </c>
      <c r="B84" s="141" t="s">
        <v>253</v>
      </c>
      <c r="C84" s="329">
        <f>+ptime1</f>
        <v>0</v>
      </c>
      <c r="D84" s="329">
        <f>+ptime2</f>
        <v>0</v>
      </c>
      <c r="E84" s="330">
        <f>+ptctr</f>
        <v>0</v>
      </c>
      <c r="F84" s="68"/>
      <c r="G84" s="338"/>
      <c r="H84" s="342"/>
      <c r="I84" s="342"/>
      <c r="J84" s="342"/>
    </row>
    <row r="85" spans="1:10" ht="75" customHeight="1">
      <c r="A85" s="58" t="s">
        <v>138</v>
      </c>
      <c r="B85" s="258" t="s">
        <v>346</v>
      </c>
      <c r="C85" s="331">
        <f>+ptcredpct1</f>
        <v>0</v>
      </c>
      <c r="D85" s="331">
        <f>+ptcredpct2</f>
        <v>0</v>
      </c>
      <c r="E85" s="59"/>
      <c r="F85" s="68"/>
      <c r="G85" s="338"/>
      <c r="H85" s="342"/>
      <c r="I85" s="342"/>
      <c r="J85" s="342"/>
    </row>
    <row r="86" spans="1:10" ht="74.25" customHeight="1">
      <c r="A86" s="58" t="s">
        <v>139</v>
      </c>
      <c r="B86" s="276" t="s">
        <v>324</v>
      </c>
      <c r="C86" s="369">
        <f>ROUND(IF(children&gt;0,+RbasicC*jointminorch/children*Rptcredpct1,0),2)</f>
        <v>0</v>
      </c>
      <c r="D86" s="370">
        <f>ROUND(IF(children&gt;0,+RbasicC*jointminorch/children*Rptcredpct2,0),2)</f>
        <v>0</v>
      </c>
      <c r="E86" s="59"/>
      <c r="F86" s="68"/>
      <c r="G86" s="338"/>
      <c r="H86" s="342"/>
      <c r="I86" s="342"/>
      <c r="J86" s="342"/>
    </row>
    <row r="87" spans="1:10" ht="30.75" customHeight="1">
      <c r="A87" s="58" t="s">
        <v>140</v>
      </c>
      <c r="B87" s="258" t="s">
        <v>144</v>
      </c>
      <c r="C87" s="369">
        <f>+Rccoop1</f>
        <v>0</v>
      </c>
      <c r="D87" s="370">
        <f>+Rccoop2</f>
        <v>0</v>
      </c>
      <c r="E87" s="59"/>
      <c r="F87" s="68"/>
      <c r="G87" s="338"/>
      <c r="H87" s="342"/>
      <c r="I87" s="342"/>
      <c r="J87" s="342"/>
    </row>
    <row r="88" spans="1:10" ht="30.75" customHeight="1">
      <c r="A88" s="58" t="s">
        <v>141</v>
      </c>
      <c r="B88" s="258" t="s">
        <v>145</v>
      </c>
      <c r="C88" s="369">
        <f>+Speccostspaid1</f>
        <v>0</v>
      </c>
      <c r="D88" s="370">
        <f>+Speccostspaid2</f>
        <v>0</v>
      </c>
      <c r="E88" s="59"/>
      <c r="F88" s="68"/>
      <c r="G88" s="338"/>
      <c r="H88" s="342"/>
      <c r="I88" s="342"/>
      <c r="J88" s="342"/>
    </row>
    <row r="89" spans="1:10" ht="45" customHeight="1">
      <c r="A89" s="55" t="s">
        <v>142</v>
      </c>
      <c r="B89" s="141" t="s">
        <v>283</v>
      </c>
      <c r="C89" s="369">
        <f>IF(RWhoWillProvide="",0,IF(RWhoWillProvide=R_either_parent_when_available,0,IF(OR(RWhoWillProvide=R_ParentA_Can_Provide,RWhoWillProvide=R_Both_Can_Provide),Rpremium1,0)))</f>
        <v>0</v>
      </c>
      <c r="D89" s="370">
        <f>IF(RWhoWillProvide="",0,IF(RWhoWillProvide=R_either_parent_when_available,0,IF(OR(RWhoWillProvide=R_ParentB_Can_Provide,RWhoWillProvide=R_Both_Can_Provide),Rpremium2,0)))</f>
        <v>0</v>
      </c>
      <c r="E89" s="59"/>
      <c r="F89" s="68"/>
      <c r="G89" s="338"/>
      <c r="H89" s="342"/>
      <c r="I89" s="342"/>
      <c r="J89" s="342"/>
    </row>
    <row r="90" spans="1:10" ht="58.5" customHeight="1">
      <c r="A90" s="55" t="s">
        <v>143</v>
      </c>
      <c r="B90" s="141" t="s">
        <v>325</v>
      </c>
      <c r="C90" s="369">
        <f>RCSafterHCC1-SUM(C86:C89)</f>
        <v>0</v>
      </c>
      <c r="D90" s="370">
        <f>RCSafterHCC2-SUM(D86:D89)</f>
        <v>0</v>
      </c>
      <c r="E90" s="59"/>
      <c r="F90" s="68"/>
      <c r="G90" s="338"/>
      <c r="H90" s="342"/>
      <c r="I90" s="342"/>
      <c r="J90" s="342"/>
    </row>
    <row r="91" spans="1:8" ht="12.75" customHeight="1">
      <c r="A91" s="530"/>
      <c r="B91" s="530"/>
      <c r="C91" s="530"/>
      <c r="D91" s="530"/>
      <c r="F91" s="68"/>
      <c r="G91" s="177"/>
      <c r="H91" s="194"/>
    </row>
    <row r="92" spans="1:10" ht="15.75">
      <c r="A92" s="404" t="s">
        <v>326</v>
      </c>
      <c r="B92" s="534"/>
      <c r="C92" s="534"/>
      <c r="D92" s="534"/>
      <c r="F92" s="68"/>
      <c r="G92" s="418"/>
      <c r="H92" s="504"/>
      <c r="I92" s="504"/>
      <c r="J92" s="504"/>
    </row>
    <row r="93" spans="1:16" s="52" customFormat="1" ht="15">
      <c r="A93" s="53"/>
      <c r="B93" s="51"/>
      <c r="C93" s="163" t="str">
        <f>+IF(ISBLANK(pname1),"",pname1)</f>
        <v>name</v>
      </c>
      <c r="D93" s="163" t="str">
        <f>+IF(ISBLANK(pname2),"",pname2)</f>
        <v>name</v>
      </c>
      <c r="E93" s="49"/>
      <c r="F93" s="69"/>
      <c r="G93" s="220"/>
      <c r="H93" s="221"/>
      <c r="I93" s="221"/>
      <c r="J93" s="221"/>
      <c r="K93" s="190"/>
      <c r="L93" s="190"/>
      <c r="M93" s="190"/>
      <c r="N93" s="190"/>
      <c r="O93" s="191"/>
      <c r="P93" s="191"/>
    </row>
    <row r="94" spans="1:10" ht="60" customHeight="1">
      <c r="A94" s="78" t="s">
        <v>146</v>
      </c>
      <c r="B94" s="275" t="s">
        <v>327</v>
      </c>
      <c r="C94" s="369">
        <f>IF(children&gt;0,RbasicSSR1/children*jointminorch,0)</f>
        <v>0</v>
      </c>
      <c r="D94" s="370">
        <f>IF(children&gt;0,RbasicSSR2/children*jointminorch,0)</f>
        <v>0</v>
      </c>
      <c r="F94" s="335" t="str">
        <f>IF(jointminorch&gt;0,IF(jointCAS&gt;0,"both","minor children only"),IF(jointCAS&gt;0,"no minor children","Please enter joint children in Section 1."))</f>
        <v>Please enter joint children in Section 1.</v>
      </c>
      <c r="G94" s="222"/>
      <c r="H94" s="182"/>
      <c r="I94" s="195"/>
      <c r="J94" s="195"/>
    </row>
    <row r="95" spans="1:6" ht="129.75" customHeight="1">
      <c r="A95" s="78" t="s">
        <v>328</v>
      </c>
      <c r="B95" s="275" t="s">
        <v>330</v>
      </c>
      <c r="C95" s="369">
        <f>IF(children&gt;0,Rminorsbs1+Rccoopshare1+(Rhccshare1/children*jointminorch)-Rptcred1-Rcccoopcred1-(RHCCcred1/children*jointminorch),0)</f>
        <v>0</v>
      </c>
      <c r="D95" s="370">
        <f>IF(children&gt;0,Rminorsbs2+Rccoopshare2+(Rhccshare2/children*jointminorch)-Rptcred2-Rcccoopcred2-(RHCCcred2/children*jointminorch),0)</f>
        <v>0</v>
      </c>
      <c r="F95" s="68"/>
    </row>
    <row r="96" spans="1:6" ht="117.75">
      <c r="A96" s="78" t="s">
        <v>329</v>
      </c>
      <c r="B96" s="275" t="s">
        <v>331</v>
      </c>
      <c r="C96" s="332">
        <f>IF(Rcalctype="Please enter joint children in Section 1.","",IF(Rptctr&gt;0,"Yes",IF(OR(Rminsupadj1=Rminsupadj2,jointminorch&lt;1),"No",IF(Rminsupadj1&gt;Rminsupadj2,"Yes","No"))))</f>
      </c>
      <c r="D96" s="332">
        <f>IF(Rcalctype="Please enter joint children in Section 1.","",IF(Rptctr&gt;0,"Yes",IF(OR(Rminsupadj1=Rminsupadj2,jointminorch&lt;1),"No",IF(Rminsupadj1&lt;Rminsupadj2,"Yes","No"))))</f>
      </c>
      <c r="F96" s="68"/>
    </row>
    <row r="97" spans="1:6" ht="15.75">
      <c r="A97" s="587"/>
      <c r="B97" s="587"/>
      <c r="C97" s="587"/>
      <c r="D97" s="587"/>
      <c r="E97" s="26"/>
      <c r="F97" s="68"/>
    </row>
    <row r="98" spans="1:5" ht="15.75" customHeight="1">
      <c r="A98" s="404" t="s">
        <v>332</v>
      </c>
      <c r="B98" s="404"/>
      <c r="C98" s="404"/>
      <c r="D98" s="404"/>
      <c r="E98" s="404"/>
    </row>
    <row r="99" spans="1:4" ht="15" customHeight="1">
      <c r="A99" s="56"/>
      <c r="B99" s="61"/>
      <c r="C99" s="163" t="str">
        <f>+IF(ISBLANK(pname1),"",pname1)</f>
        <v>name</v>
      </c>
      <c r="D99" s="163" t="str">
        <f>+IF(ISBLANK(pname2),"",pname2)</f>
        <v>name</v>
      </c>
    </row>
    <row r="100" spans="1:4" ht="59.25" customHeight="1">
      <c r="A100" s="55" t="s">
        <v>147</v>
      </c>
      <c r="B100" s="259" t="s">
        <v>354</v>
      </c>
      <c r="C100" s="369">
        <f>IF(RHCCcred1&gt;Rcmeds1,RHCCcred1+RCSafterCredits1,RCSafterCredits1+Rcmeds1)</f>
        <v>0</v>
      </c>
      <c r="D100" s="370">
        <f>IF(RHCCcred2&gt;Rcmeds2,RHCCcred2+RCSafterCredits2,RCSafterCredits2+Rcmeds2)</f>
        <v>0</v>
      </c>
    </row>
    <row r="101" spans="1:4" ht="78.75" customHeight="1">
      <c r="A101" s="55" t="s">
        <v>148</v>
      </c>
      <c r="B101" s="278" t="s">
        <v>360</v>
      </c>
      <c r="C101" s="376" t="str">
        <f>+exception1</f>
        <v>No</v>
      </c>
      <c r="D101" s="376" t="str">
        <f>+exception2</f>
        <v>No</v>
      </c>
    </row>
    <row r="102" spans="1:10" ht="90" customHeight="1">
      <c r="A102" s="55" t="s">
        <v>149</v>
      </c>
      <c r="B102" s="278" t="s">
        <v>254</v>
      </c>
      <c r="C102" s="369">
        <f>IF(Rcalctype="Please enter joint children in Section 1.",0,IF(Rexception1="Yes",0,IF(RTotalCSbeforeminord1&lt;100,100-RTotalCSbeforeminord1,0)))</f>
        <v>0</v>
      </c>
      <c r="D102" s="370">
        <f>IF(Rcalctype="Please enter joint children in Section 1.",0,IF(Rexception2="Yes",0,IF(RTotalCSbeforeminord2&lt;100,100-RTotalCSbeforeminord2,0)))</f>
        <v>0</v>
      </c>
      <c r="E102" s="59"/>
      <c r="F102" s="68"/>
      <c r="G102" s="338"/>
      <c r="H102" s="342"/>
      <c r="I102" s="342"/>
      <c r="J102" s="342"/>
    </row>
    <row r="103" spans="1:4" ht="72">
      <c r="A103" s="55" t="s">
        <v>150</v>
      </c>
      <c r="B103" s="274" t="s">
        <v>333</v>
      </c>
      <c r="C103" s="369">
        <f>IF(AND(Rpartytype1="No",jointCAS=0),0,IF(ROUND(RCSafterCredits1+Raddcsamt1,2)&lt;0,0,ROUND(RCSafterCredits1+Raddcsamt1,2)))</f>
        <v>0</v>
      </c>
      <c r="D103" s="370">
        <f>IF(AND(Rpartytype2="No",jointCAS=0),0,IF(ROUND(RCSafterCredits2+Raddcsamt2,2)&lt;0,0,ROUND(RCSafterCredits2+Raddcsamt2,2)))</f>
        <v>0</v>
      </c>
    </row>
    <row r="104" spans="1:4" ht="86.25">
      <c r="A104" s="55" t="s">
        <v>334</v>
      </c>
      <c r="B104" s="277" t="s">
        <v>353</v>
      </c>
      <c r="C104" s="373">
        <f>+ssavabene1</f>
        <v>0</v>
      </c>
      <c r="D104" s="373">
        <f>+ssavabene2</f>
        <v>0</v>
      </c>
    </row>
    <row r="105" spans="1:4" ht="58.5" customHeight="1">
      <c r="A105" s="55" t="s">
        <v>335</v>
      </c>
      <c r="B105" s="259" t="s">
        <v>337</v>
      </c>
      <c r="C105" s="369">
        <f>MAX(RTotalCSafterminord1-Rssavabene1,0)</f>
        <v>0</v>
      </c>
      <c r="D105" s="370">
        <f>MAX(RTotalCSafterminord2-Rssavabene2,0)</f>
        <v>0</v>
      </c>
    </row>
    <row r="106" spans="1:4" ht="57" customHeight="1">
      <c r="A106" s="55" t="s">
        <v>336</v>
      </c>
      <c r="B106" s="259" t="s">
        <v>356</v>
      </c>
      <c r="C106" s="369">
        <f>IF(RTotalCSafterSSV1=(RTotalCSafterminord1-Rssavabene1),0,ABS(RTotalCSafterminord1-Rssavabene1))</f>
        <v>0</v>
      </c>
      <c r="D106" s="370">
        <f>IF(RTotalCSafterSSV2=(RTotalCSafterminord2-Rssavabene2),0,ABS(RTotalCSafterminord2-Rssavabene2))</f>
        <v>0</v>
      </c>
    </row>
    <row r="107" spans="1:4" ht="73.5" customHeight="1">
      <c r="A107" s="55" t="s">
        <v>338</v>
      </c>
      <c r="B107" s="259" t="s">
        <v>339</v>
      </c>
      <c r="C107" s="369">
        <f>MAX(Rcmeds1-Rremredcms1,0)</f>
        <v>0</v>
      </c>
      <c r="D107" s="370">
        <f>MAX(Rcmeds2-Rremredcms2,0)</f>
        <v>0</v>
      </c>
    </row>
    <row r="108" spans="1:4" ht="34.5" customHeight="1">
      <c r="A108" s="586" t="s">
        <v>195</v>
      </c>
      <c r="B108" s="586"/>
      <c r="C108" s="586"/>
      <c r="D108" s="586"/>
    </row>
    <row r="109" spans="1:4" ht="17.25" customHeight="1">
      <c r="A109" s="56"/>
      <c r="B109" s="62"/>
      <c r="C109" s="163" t="str">
        <f>+IF(ISBLANK(pname1),"",pname1)</f>
        <v>name</v>
      </c>
      <c r="D109" s="163" t="str">
        <f>+IF(ISBLANK(pname2),"",pname2)</f>
        <v>name</v>
      </c>
    </row>
    <row r="110" spans="1:6" ht="86.25" customHeight="1">
      <c r="A110" s="55" t="s">
        <v>151</v>
      </c>
      <c r="B110" s="277" t="s">
        <v>340</v>
      </c>
      <c r="C110" s="369">
        <f>IF(OR(children&lt;=0,Rpartytype1="No"),0,ROUND(ROUND(RTotalCSafterSSV1/children,2)*jointminorch,0))</f>
        <v>0</v>
      </c>
      <c r="D110" s="370">
        <f>IF(OR(children&lt;=0,Rpartytype2="No"),0,ROUND(ROUND(RTotalCSafterSSV2/children,2)*jointminorch,0))</f>
        <v>0</v>
      </c>
      <c r="E110" s="337"/>
      <c r="F110" s="135"/>
    </row>
    <row r="111" spans="1:6" ht="85.5" customHeight="1">
      <c r="A111" s="57" t="s">
        <v>152</v>
      </c>
      <c r="B111" s="279" t="s">
        <v>341</v>
      </c>
      <c r="C111" s="369">
        <f>IF(OR(Rpartytype1="No",children&lt;=0),0,ROUND(ROUND(RcmsafterSS1/children,2)*jointminorch,0))</f>
        <v>0</v>
      </c>
      <c r="D111" s="370">
        <f>IF(OR(Rpartytype2="No",children&lt;=0),0,ROUND(ROUND(RcmsafterSS2/children,2)*jointminorch,0))</f>
        <v>0</v>
      </c>
      <c r="E111" s="337"/>
      <c r="F111" s="135"/>
    </row>
    <row r="112" spans="1:6" ht="99" customHeight="1">
      <c r="A112" s="55" t="s">
        <v>153</v>
      </c>
      <c r="B112" s="277" t="s">
        <v>344</v>
      </c>
      <c r="C112" s="369">
        <f>IF(children=0,0,IF(Rpartytype1="No",IF(jointCAS&gt;0,ROUND(RTotalCSafterSSV1,0),0),ROUND(ROUND(RTotalCSafterSSV1/children,2)*jointCAS,0)))</f>
        <v>0</v>
      </c>
      <c r="D112" s="370">
        <f>IF(children=0,0,IF(Rpartytype2="No",IF(jointCAS&gt;0,ROUND(RTotalCSafterSSV2,0),0),ROUND(ROUND(RTotalCSafterSSV2/children,2)*jointCAS,0)))</f>
        <v>0</v>
      </c>
      <c r="E112" s="337"/>
      <c r="F112" s="135"/>
    </row>
    <row r="113" spans="1:6" ht="102.75" customHeight="1">
      <c r="A113" s="57" t="s">
        <v>154</v>
      </c>
      <c r="B113" s="280" t="s">
        <v>342</v>
      </c>
      <c r="C113" s="369">
        <f>IF(jointCAS&gt;0,IF(OR(Rpartytype1="No",jointminorch=0),ROUND(RcmsafterSS1,0),ROUND(ROUND(RcmsafterSS1/children,2)*jointCAS,0)),0)</f>
        <v>0</v>
      </c>
      <c r="D113" s="370">
        <f>IF(jointCAS&gt;0,IF(OR(Rpartytype2="No",jointminorch=0),ROUND(RcmsafterSS2,0),ROUND(ROUND(RcmsafterSS2/children,2)*jointCAS,0)),0)</f>
        <v>0</v>
      </c>
      <c r="E113" s="337"/>
      <c r="F113" s="135"/>
    </row>
    <row r="114" spans="1:16" s="23" customFormat="1" ht="45" customHeight="1">
      <c r="A114" s="55" t="s">
        <v>155</v>
      </c>
      <c r="B114" s="336" t="s">
        <v>156</v>
      </c>
      <c r="C114" s="369">
        <f>SUM(C110:C113)</f>
        <v>0</v>
      </c>
      <c r="D114" s="370">
        <f>SUM(D110:D113)</f>
        <v>0</v>
      </c>
      <c r="E114" s="337"/>
      <c r="F114" s="135"/>
      <c r="G114" s="177"/>
      <c r="H114" s="346"/>
      <c r="I114" s="170"/>
      <c r="J114" s="170"/>
      <c r="K114" s="170"/>
      <c r="L114" s="170"/>
      <c r="M114" s="170"/>
      <c r="N114" s="170"/>
      <c r="O114" s="170"/>
      <c r="P114" s="168"/>
    </row>
    <row r="115" spans="1:6" ht="45" customHeight="1">
      <c r="A115" s="57" t="s">
        <v>157</v>
      </c>
      <c r="B115" s="260" t="s">
        <v>219</v>
      </c>
      <c r="C115" s="578">
        <f>IF(RWhoWillProvide&lt;&gt;"",RWhoWillProvide,"")</f>
      </c>
      <c r="D115" s="579"/>
      <c r="E115" s="580"/>
      <c r="F115" s="581"/>
    </row>
    <row r="116" spans="1:16" s="23" customFormat="1" ht="71.25" customHeight="1">
      <c r="A116" s="55" t="s">
        <v>217</v>
      </c>
      <c r="B116" s="139" t="s">
        <v>255</v>
      </c>
      <c r="C116" s="521">
        <f>IF(Rcompellingfactors?="Yes",IF(RtotalRIC&gt;RHCCtotal,RtotalRIC,RHCCtotal),RtotalRIC)</f>
        <v>0</v>
      </c>
      <c r="D116" s="522"/>
      <c r="E116" s="582"/>
      <c r="F116" s="583"/>
      <c r="G116" s="419"/>
      <c r="H116" s="419"/>
      <c r="I116" s="419"/>
      <c r="J116" s="419"/>
      <c r="K116" s="170"/>
      <c r="L116" s="170"/>
      <c r="M116" s="170"/>
      <c r="N116" s="170"/>
      <c r="O116" s="170"/>
      <c r="P116" s="168"/>
    </row>
    <row r="117" spans="1:4" ht="20.25" customHeight="1">
      <c r="A117" s="533"/>
      <c r="B117" s="533"/>
      <c r="C117" s="533"/>
      <c r="D117" s="533"/>
    </row>
    <row r="118" spans="1:4" ht="16.5" customHeight="1">
      <c r="A118" s="438" t="s">
        <v>218</v>
      </c>
      <c r="B118" s="438"/>
      <c r="C118" s="438"/>
      <c r="D118" s="438"/>
    </row>
    <row r="119" spans="1:4" ht="18" customHeight="1">
      <c r="A119" s="63"/>
      <c r="B119" s="63"/>
      <c r="C119" s="163" t="str">
        <f>+IF(ISBLANK(pname1),"",pname1)</f>
        <v>name</v>
      </c>
      <c r="D119" s="163" t="str">
        <f>+IF(ISBLANK(pname2),"",pname2)</f>
        <v>name</v>
      </c>
    </row>
    <row r="120" spans="1:4" ht="16.5" customHeight="1">
      <c r="A120" s="55" t="s">
        <v>158</v>
      </c>
      <c r="B120" s="261" t="s">
        <v>159</v>
      </c>
      <c r="C120" s="367"/>
      <c r="D120" s="367"/>
    </row>
    <row r="121" spans="1:4" ht="42.75" customHeight="1">
      <c r="A121" s="55" t="s">
        <v>160</v>
      </c>
      <c r="B121" s="139" t="s">
        <v>161</v>
      </c>
      <c r="C121" s="369">
        <f>IF(Rcsminorch1+Radjccsminorch1&lt;0,0,Rcsminorch1+Radjccsminorch1)</f>
        <v>0</v>
      </c>
      <c r="D121" s="370">
        <f>IF(Rcsminorch2+Radjccsminorch2&lt;0,0,Rcsminorch2+Radjccsminorch2)</f>
        <v>0</v>
      </c>
    </row>
    <row r="122" spans="1:4" ht="31.5" customHeight="1">
      <c r="A122" s="55" t="s">
        <v>162</v>
      </c>
      <c r="B122" s="138" t="s">
        <v>256</v>
      </c>
      <c r="C122" s="367"/>
      <c r="D122" s="367"/>
    </row>
    <row r="123" spans="1:4" ht="44.25" customHeight="1">
      <c r="A123" s="55" t="s">
        <v>163</v>
      </c>
      <c r="B123" s="139" t="s">
        <v>257</v>
      </c>
      <c r="C123" s="369">
        <f>IF(Rcmedsminorch1+Radjcmsminorch1&lt;0,0,Rcmedsminorch1+Radjcmsminorch1)</f>
        <v>0</v>
      </c>
      <c r="D123" s="370">
        <f>IF(Rcmedsminorch2+Radjcmsminorch2&lt;0,0,Rcmedsminorch2+Radjcmsminorch2)</f>
        <v>0</v>
      </c>
    </row>
    <row r="124" spans="1:4" ht="31.5" customHeight="1">
      <c r="A124" s="55" t="s">
        <v>164</v>
      </c>
      <c r="B124" s="138" t="s">
        <v>165</v>
      </c>
      <c r="C124" s="367"/>
      <c r="D124" s="367"/>
    </row>
    <row r="125" spans="1:4" ht="58.5" customHeight="1">
      <c r="A125" s="55" t="s">
        <v>166</v>
      </c>
      <c r="B125" s="139" t="s">
        <v>258</v>
      </c>
      <c r="C125" s="369">
        <f>IF(RcsCASch1+RadjccsCAS1&lt;0,0,RcsCASch1+RadjccsCAS1)</f>
        <v>0</v>
      </c>
      <c r="D125" s="370">
        <f>IF(RcsCASch2+RadjccsCAS2&lt;0,0,RcsCASch2+RadjccsCAS2)</f>
        <v>0</v>
      </c>
    </row>
    <row r="126" spans="1:4" ht="30" customHeight="1">
      <c r="A126" s="55" t="s">
        <v>167</v>
      </c>
      <c r="B126" s="138" t="s">
        <v>259</v>
      </c>
      <c r="C126" s="367"/>
      <c r="D126" s="367"/>
    </row>
    <row r="127" spans="1:16" s="52" customFormat="1" ht="57" customHeight="1">
      <c r="A127" s="55" t="s">
        <v>168</v>
      </c>
      <c r="B127" s="139" t="s">
        <v>284</v>
      </c>
      <c r="C127" s="369">
        <f>IF(RcmsCAS1+RadjcmsCAS1&lt;0,0,RcmsCAS1+RadjcmsCAS1)</f>
        <v>0</v>
      </c>
      <c r="D127" s="370">
        <f>IF(RcmsCAS2+RadjcmsCAS2&lt;0,0,RcmsCAS2+RadjcmsCAS2)</f>
        <v>0</v>
      </c>
      <c r="E127" s="71"/>
      <c r="F127" s="70"/>
      <c r="G127" s="187"/>
      <c r="H127" s="341"/>
      <c r="I127" s="188"/>
      <c r="J127" s="188"/>
      <c r="K127" s="189"/>
      <c r="L127" s="190"/>
      <c r="M127" s="190"/>
      <c r="N127" s="190"/>
      <c r="O127" s="191"/>
      <c r="P127" s="191"/>
    </row>
    <row r="128" spans="1:16" s="52" customFormat="1" ht="44.25" customHeight="1">
      <c r="A128" s="55" t="s">
        <v>169</v>
      </c>
      <c r="B128" s="139" t="s">
        <v>170</v>
      </c>
      <c r="C128" s="369">
        <f>+Radjustedccsminorch1+Radjustedcmsminorch1+RadjustedccsCAS1+RadjustedcmsCAS1</f>
        <v>0</v>
      </c>
      <c r="D128" s="370">
        <f>+Radjustedccsminorch2+Radjustedcmsminorch2+RadjustedccsCAS2+RadjustedcmsCAS2</f>
        <v>0</v>
      </c>
      <c r="E128" s="23"/>
      <c r="F128" s="70"/>
      <c r="G128" s="187"/>
      <c r="H128" s="341"/>
      <c r="I128" s="188"/>
      <c r="J128" s="188"/>
      <c r="K128" s="189"/>
      <c r="L128" s="190"/>
      <c r="M128" s="190"/>
      <c r="N128" s="190"/>
      <c r="O128" s="191"/>
      <c r="P128" s="191"/>
    </row>
    <row r="129" spans="1:16" s="52" customFormat="1" ht="18" customHeight="1">
      <c r="A129" s="505" t="s">
        <v>171</v>
      </c>
      <c r="B129" s="572" t="s">
        <v>221</v>
      </c>
      <c r="C129" s="573"/>
      <c r="D129" s="574"/>
      <c r="E129" s="23"/>
      <c r="F129" s="70"/>
      <c r="G129" s="187"/>
      <c r="H129" s="341"/>
      <c r="I129" s="188"/>
      <c r="J129" s="188"/>
      <c r="K129" s="189"/>
      <c r="L129" s="190"/>
      <c r="M129" s="190"/>
      <c r="N129" s="190"/>
      <c r="O129" s="191"/>
      <c r="P129" s="191"/>
    </row>
    <row r="130" spans="1:16" s="52" customFormat="1" ht="17.25" customHeight="1">
      <c r="A130" s="506"/>
      <c r="B130" s="541"/>
      <c r="C130" s="542"/>
      <c r="D130" s="543"/>
      <c r="E130" s="23"/>
      <c r="F130" s="70"/>
      <c r="G130" s="187"/>
      <c r="H130" s="341"/>
      <c r="I130" s="188"/>
      <c r="J130" s="188"/>
      <c r="K130" s="189"/>
      <c r="L130" s="190"/>
      <c r="M130" s="190"/>
      <c r="N130" s="190"/>
      <c r="O130" s="191"/>
      <c r="P130" s="191"/>
    </row>
    <row r="131" spans="1:4" ht="14.25" customHeight="1">
      <c r="A131" s="506"/>
      <c r="B131" s="512" t="s">
        <v>247</v>
      </c>
      <c r="C131" s="513"/>
      <c r="D131" s="514"/>
    </row>
    <row r="132" spans="1:16" s="23" customFormat="1" ht="18" customHeight="1">
      <c r="A132" s="507"/>
      <c r="B132" s="501"/>
      <c r="C132" s="502"/>
      <c r="D132" s="503"/>
      <c r="F132" s="68"/>
      <c r="G132" s="419"/>
      <c r="H132" s="419"/>
      <c r="I132" s="419"/>
      <c r="J132" s="419"/>
      <c r="K132" s="170"/>
      <c r="L132" s="170"/>
      <c r="M132" s="170"/>
      <c r="N132" s="170"/>
      <c r="O132" s="168"/>
      <c r="P132" s="168"/>
    </row>
    <row r="133" spans="1:16" s="23" customFormat="1" ht="30.75" customHeight="1">
      <c r="A133" s="537"/>
      <c r="B133" s="537"/>
      <c r="C133" s="537"/>
      <c r="D133" s="537"/>
      <c r="F133" s="68"/>
      <c r="G133" s="414"/>
      <c r="H133" s="414"/>
      <c r="I133" s="414"/>
      <c r="J133" s="414"/>
      <c r="K133" s="170"/>
      <c r="L133" s="170"/>
      <c r="M133" s="170"/>
      <c r="N133" s="170"/>
      <c r="O133" s="170"/>
      <c r="P133" s="168"/>
    </row>
    <row r="134" spans="1:6" ht="15.75" customHeight="1">
      <c r="A134" s="438" t="s">
        <v>172</v>
      </c>
      <c r="B134" s="438"/>
      <c r="C134" s="438"/>
      <c r="D134" s="438"/>
      <c r="F134" s="495"/>
    </row>
    <row r="135" spans="1:6" ht="45" customHeight="1">
      <c r="A135" s="510" t="s">
        <v>198</v>
      </c>
      <c r="B135" s="510"/>
      <c r="C135" s="510"/>
      <c r="D135" s="510"/>
      <c r="F135" s="495"/>
    </row>
    <row r="136" spans="1:6" ht="16.5" customHeight="1">
      <c r="A136" s="63"/>
      <c r="B136" s="63"/>
      <c r="C136" s="163" t="str">
        <f>+IF(ISBLANK(pname1),"",pname1)</f>
        <v>name</v>
      </c>
      <c r="D136" s="163" t="str">
        <f>+IF(ISBLANK(pname2),"",pname2)</f>
        <v>name</v>
      </c>
      <c r="F136" s="164"/>
    </row>
    <row r="137" spans="1:4" ht="45" customHeight="1">
      <c r="A137" s="55" t="s">
        <v>173</v>
      </c>
      <c r="B137" s="139" t="s">
        <v>260</v>
      </c>
      <c r="C137" s="369">
        <f>+Rtotaladjcs1*0.15</f>
        <v>0</v>
      </c>
      <c r="D137" s="370">
        <f>+Rtotaladjcs2*0.15</f>
        <v>0</v>
      </c>
    </row>
    <row r="138" spans="1:6" ht="15.75" customHeight="1">
      <c r="A138" s="55" t="s">
        <v>174</v>
      </c>
      <c r="B138" s="138" t="s">
        <v>74</v>
      </c>
      <c r="C138" s="354"/>
      <c r="D138" s="354"/>
      <c r="F138" s="166" t="b">
        <f>IF(AND(OR(ISBLANK(Ragcashchg1),IF(ISNUMBER(Ragcashchg1),IF(Ragcashchg1=0,TRUE,FALSE),FALSE)),OR(ISBLANK(Ragcashchg2),IF(ISNUMBER(Ragcashchg2),IF(Ragcashchg2=0,TRUE,FALSE),FALSE))),TRUE,FALSE)</f>
        <v>1</v>
      </c>
    </row>
    <row r="139" spans="1:4" ht="44.25" customHeight="1">
      <c r="A139" s="55" t="s">
        <v>175</v>
      </c>
      <c r="B139" s="139" t="s">
        <v>261</v>
      </c>
      <c r="C139" s="333">
        <f>IF(RNoAgreedApplied,"",IF(Rtotaladjcs1&gt;0,Ragcashchg1/Rtotaladjcs1,0))</f>
      </c>
      <c r="D139" s="333">
        <f>IF(RNoAgreedApplied,"",IF(Rtotaladjcs2&gt;0,Ragcashchg2/Rtotaladjcs2,0))</f>
      </c>
    </row>
    <row r="140" spans="1:4" ht="45" customHeight="1">
      <c r="A140" s="55" t="s">
        <v>176</v>
      </c>
      <c r="B140" s="139" t="s">
        <v>262</v>
      </c>
      <c r="C140" s="369">
        <f>IF(RNoAgreedApplied,"",IF(ISNUMBER(Ragcashchg1),ROUND(Radjustedccsminorch1+Radjustedccsminorch1*Ragreedpct1,0),))</f>
      </c>
      <c r="D140" s="370">
        <f>IF(RNoAgreedApplied,"",IF(ISNUMBER(Ragcashchg2),ROUND(Radjustedccsminorch2+Radjustedccsminorch2*Ragreedpct2,0),))</f>
      </c>
    </row>
    <row r="141" spans="1:4" ht="60" customHeight="1">
      <c r="A141" s="55" t="s">
        <v>177</v>
      </c>
      <c r="B141" s="139" t="s">
        <v>263</v>
      </c>
      <c r="C141" s="369">
        <f>IF(RNoAgreedApplied,"",IF(ISNUMBER(Ragcashchg1),ROUND(Radjustedcmsminorch1+Radjustedcmsminorch1*Ragreedpct1,0),))</f>
      </c>
      <c r="D141" s="370">
        <f>IF(RNoAgreedApplied,"",IF(ISNUMBER(Ragcashchg2),ROUND(Radjustedcmsminorch2+Radjustedcmsminorch2*Ragreedpct2,0),))</f>
      </c>
    </row>
    <row r="142" spans="1:4" ht="59.25" customHeight="1">
      <c r="A142" s="55" t="s">
        <v>178</v>
      </c>
      <c r="B142" s="139" t="s">
        <v>264</v>
      </c>
      <c r="C142" s="369">
        <f>IF(RNoAgreedApplied,"",IF(ISNUMBER(Ragcashchg1),ROUND(RadjustedccsCAS1+RadjustedccsCAS1*Ragreedpct1,0),))</f>
      </c>
      <c r="D142" s="370">
        <f>IF(RNoAgreedApplied,"",IF(ISNUMBER(Ragcashchg2),ROUND(RadjustedccsCAS2+RadjustedccsCAS2*Ragreedpct2,0),))</f>
      </c>
    </row>
    <row r="143" spans="1:4" ht="59.25" customHeight="1">
      <c r="A143" s="55" t="s">
        <v>179</v>
      </c>
      <c r="B143" s="139" t="s">
        <v>265</v>
      </c>
      <c r="C143" s="369">
        <f>IF(RNoAgreedApplied,"",IF(ISNUMBER(Ragcashchg1),ROUND(RadjustedcmsCAS1+RadjustedcmsCAS1*Ragreedpct1,0),))</f>
      </c>
      <c r="D143" s="370">
        <f>IF(RNoAgreedApplied,"",IF(ISNUMBER(Ragcashchg2),ROUND(RadjustedcmsCAS2+RadjustedcmsCAS2*Ragreedpct2,0),))</f>
      </c>
    </row>
    <row r="144" spans="1:4" ht="44.25" customHeight="1">
      <c r="A144" s="55" t="s">
        <v>180</v>
      </c>
      <c r="B144" s="139" t="s">
        <v>266</v>
      </c>
      <c r="C144" s="369">
        <f>IF(RNoAgreedApplied,"",SUM(C140:C143))</f>
      </c>
      <c r="D144" s="370">
        <f>IF(RNoAgreedApplied,"",SUM(D140:D143))</f>
      </c>
    </row>
  </sheetData>
  <sheetProtection password="8AB2" sheet="1" selectLockedCells="1"/>
  <mergeCells count="104">
    <mergeCell ref="B54:D54"/>
    <mergeCell ref="B55:D55"/>
    <mergeCell ref="B53:D53"/>
    <mergeCell ref="E54:E57"/>
    <mergeCell ref="A108:D108"/>
    <mergeCell ref="A97:D97"/>
    <mergeCell ref="A91:D91"/>
    <mergeCell ref="B58:B59"/>
    <mergeCell ref="B129:D129"/>
    <mergeCell ref="A129:A132"/>
    <mergeCell ref="C66:C67"/>
    <mergeCell ref="D66:D67"/>
    <mergeCell ref="C69:E69"/>
    <mergeCell ref="B131:D131"/>
    <mergeCell ref="C115:D115"/>
    <mergeCell ref="E115:F115"/>
    <mergeCell ref="E116:F116"/>
    <mergeCell ref="G116:J116"/>
    <mergeCell ref="A75:D75"/>
    <mergeCell ref="A76:D76"/>
    <mergeCell ref="B70:B71"/>
    <mergeCell ref="A77:B77"/>
    <mergeCell ref="G72:J72"/>
    <mergeCell ref="G82:J82"/>
    <mergeCell ref="C78:D78"/>
    <mergeCell ref="C70:D71"/>
    <mergeCell ref="G76:J76"/>
    <mergeCell ref="G62:J62"/>
    <mergeCell ref="D58:D59"/>
    <mergeCell ref="A82:D82"/>
    <mergeCell ref="C68:E68"/>
    <mergeCell ref="A70:A71"/>
    <mergeCell ref="A66:A67"/>
    <mergeCell ref="A62:D62"/>
    <mergeCell ref="C58:C59"/>
    <mergeCell ref="A61:E61"/>
    <mergeCell ref="A79:A80"/>
    <mergeCell ref="G36:J36"/>
    <mergeCell ref="H38:J38"/>
    <mergeCell ref="G11:H12"/>
    <mergeCell ref="C46:C47"/>
    <mergeCell ref="B46:B47"/>
    <mergeCell ref="E33:E34"/>
    <mergeCell ref="C23:D23"/>
    <mergeCell ref="B28:D28"/>
    <mergeCell ref="A11:B12"/>
    <mergeCell ref="D31:D32"/>
    <mergeCell ref="A42:D42"/>
    <mergeCell ref="B30:D30"/>
    <mergeCell ref="A10:E10"/>
    <mergeCell ref="A21:A22"/>
    <mergeCell ref="B21:B22"/>
    <mergeCell ref="C31:C32"/>
    <mergeCell ref="B39:B40"/>
    <mergeCell ref="A134:D134"/>
    <mergeCell ref="A117:D117"/>
    <mergeCell ref="A58:A59"/>
    <mergeCell ref="A50:D50"/>
    <mergeCell ref="D46:D47"/>
    <mergeCell ref="A133:D133"/>
    <mergeCell ref="B79:B80"/>
    <mergeCell ref="A92:D92"/>
    <mergeCell ref="C77:D77"/>
    <mergeCell ref="B130:D130"/>
    <mergeCell ref="G50:J50"/>
    <mergeCell ref="A4:B4"/>
    <mergeCell ref="A5:B5"/>
    <mergeCell ref="A8:E8"/>
    <mergeCell ref="A9:E9"/>
    <mergeCell ref="C21:D22"/>
    <mergeCell ref="A6:B6"/>
    <mergeCell ref="A14:A19"/>
    <mergeCell ref="A41:E41"/>
    <mergeCell ref="E39:E40"/>
    <mergeCell ref="G133:J133"/>
    <mergeCell ref="B31:B32"/>
    <mergeCell ref="H40:J40"/>
    <mergeCell ref="A36:D36"/>
    <mergeCell ref="B66:B67"/>
    <mergeCell ref="G132:J132"/>
    <mergeCell ref="G92:J92"/>
    <mergeCell ref="C116:D116"/>
    <mergeCell ref="A118:D118"/>
    <mergeCell ref="B37:D38"/>
    <mergeCell ref="A135:D135"/>
    <mergeCell ref="B27:D27"/>
    <mergeCell ref="B29:D29"/>
    <mergeCell ref="A49:E49"/>
    <mergeCell ref="A37:A38"/>
    <mergeCell ref="A39:A40"/>
    <mergeCell ref="A31:A32"/>
    <mergeCell ref="A46:A47"/>
    <mergeCell ref="A27:A30"/>
    <mergeCell ref="A98:E98"/>
    <mergeCell ref="F134:F135"/>
    <mergeCell ref="A1:E1"/>
    <mergeCell ref="A2:B2"/>
    <mergeCell ref="C2:D2"/>
    <mergeCell ref="I2:J2"/>
    <mergeCell ref="B132:D132"/>
    <mergeCell ref="B56:D56"/>
    <mergeCell ref="G42:J42"/>
    <mergeCell ref="A53:A56"/>
    <mergeCell ref="E22:E23"/>
  </mergeCells>
  <dataValidations count="11">
    <dataValidation type="list" allowBlank="1" showInputMessage="1" showErrorMessage="1" sqref="I12:J12">
      <formula1>"mother,father,alleged father"</formula1>
    </dataValidation>
    <dataValidation type="list" allowBlank="1" showInputMessage="1" showErrorMessage="1" sqref="K40">
      <formula1>"yes,no"</formula1>
    </dataValidation>
    <dataValidation type="decimal" allowBlank="1" showInputMessage="1" showErrorMessage="1" sqref="D24:D26 C23:C26 C33:D33 C126:D126 C120:D120 C122:D122 C124:D124 E52:E53 C52:D52">
      <formula1>-99999.99</formula1>
      <formula2>99999.99</formula2>
    </dataValidation>
    <dataValidation type="list" allowBlank="1" showInputMessage="1" showErrorMessage="1" sqref="E78">
      <formula1>"yes,no,contingent"</formula1>
    </dataValidation>
    <dataValidation type="decimal" allowBlank="1" showInputMessage="1" showErrorMessage="1" sqref="C84:E84">
      <formula1>0</formula1>
      <formula2>365</formula2>
    </dataValidation>
    <dataValidation type="list" allowBlank="1" showInputMessage="1" showErrorMessage="1" sqref="C78:D78">
      <formula1>"y,n,c"</formula1>
    </dataValidation>
    <dataValidation type="custom" allowBlank="1" showInputMessage="1" showErrorMessage="1" sqref="C138:D138">
      <formula1>ABS(C138)&lt;=ABS(C137)</formula1>
    </dataValidation>
    <dataValidation type="decimal" allowBlank="1" showInputMessage="1" showErrorMessage="1" sqref="E64">
      <formula1>0</formula1>
      <formula2>99999.99</formula2>
    </dataValidation>
    <dataValidation type="list" allowBlank="1" showInputMessage="1" showErrorMessage="1" sqref="C70:D71">
      <formula1>$I$70:$K$70</formula1>
    </dataValidation>
    <dataValidation type="list" allowBlank="1" showInputMessage="1" showErrorMessage="1" sqref="B132:D132 B56:D56 B30:D30">
      <formula1>Selected_Rebuttals</formula1>
    </dataValidation>
    <dataValidation type="list" allowBlank="1" showInputMessage="1" showErrorMessage="1" sqref="C69:E69">
      <formula1>"Yes,No"</formula1>
    </dataValidation>
  </dataValidations>
  <printOptions horizontalCentered="1"/>
  <pageMargins left="0.4" right="0.25" top="0.45" bottom="0.5" header="0" footer="0.25"/>
  <pageSetup blackAndWhite="1" fitToHeight="0" fitToWidth="1" horizontalDpi="600" verticalDpi="600" orientation="portrait" scale="89" r:id="rId2"/>
  <headerFooter scaleWithDoc="0">
    <oddFooter>&amp;L&amp;7Page &amp;P of &amp;N - CHILD SUPPORT REBUTTAL WORKSHEET (Excel v 4.3) 
CSF 02 0910A (Rev. 02/14/17)</oddFooter>
  </headerFooter>
  <rowBreaks count="7" manualBreakCount="7">
    <brk id="34" max="4" man="1"/>
    <brk id="60" max="4" man="1"/>
    <brk id="74" max="4" man="1"/>
    <brk id="90" max="4" man="1"/>
    <brk id="103" max="4" man="1"/>
    <brk id="113" max="4" man="1"/>
    <brk id="133" max="4" man="1"/>
  </rowBreaks>
  <drawing r:id="rId1"/>
</worksheet>
</file>

<file path=xl/worksheets/sheet4.xml><?xml version="1.0" encoding="utf-8"?>
<worksheet xmlns="http://schemas.openxmlformats.org/spreadsheetml/2006/main" xmlns:r="http://schemas.openxmlformats.org/officeDocument/2006/relationships">
  <sheetPr codeName="Sheet3">
    <pageSetUpPr fitToPage="1"/>
  </sheetPr>
  <dimension ref="B1:L590"/>
  <sheetViews>
    <sheetView showGridLines="0" showRowColHeaders="0" zoomScaleSheetLayoutView="100" zoomScalePageLayoutView="0" workbookViewId="0" topLeftCell="A1">
      <pane xSplit="2" ySplit="8" topLeftCell="C9" activePane="bottomRight" state="frozen"/>
      <selection pane="topLeft" activeCell="A59" sqref="A59:IV59"/>
      <selection pane="topRight" activeCell="A59" sqref="A59:IV59"/>
      <selection pane="bottomLeft" activeCell="A59" sqref="A59:IV59"/>
      <selection pane="bottomRight" activeCell="C9" sqref="C9"/>
    </sheetView>
  </sheetViews>
  <sheetFormatPr defaultColWidth="9.140625" defaultRowHeight="12.75"/>
  <cols>
    <col min="1" max="1" width="3.140625" style="1" customWidth="1"/>
    <col min="2" max="2" width="10.421875" style="1" customWidth="1"/>
    <col min="3" max="12" width="6.28125" style="1" bestFit="1" customWidth="1"/>
    <col min="13" max="16384" width="9.140625" style="1" customWidth="1"/>
  </cols>
  <sheetData>
    <row r="1" spans="2:3" ht="15.75">
      <c r="B1" s="3" t="s">
        <v>0</v>
      </c>
      <c r="C1" s="2"/>
    </row>
    <row r="2" ht="13.5" thickBot="1"/>
    <row r="3" spans="2:12" ht="12.75">
      <c r="B3" s="588" t="s">
        <v>1</v>
      </c>
      <c r="C3" s="4"/>
      <c r="D3" s="5"/>
      <c r="E3" s="5"/>
      <c r="F3" s="5"/>
      <c r="G3" s="5"/>
      <c r="H3" s="5"/>
      <c r="I3" s="5"/>
      <c r="J3" s="5"/>
      <c r="K3" s="5"/>
      <c r="L3" s="5"/>
    </row>
    <row r="4" spans="2:12" ht="12.75">
      <c r="B4" s="589"/>
      <c r="C4" s="4"/>
      <c r="D4" s="5"/>
      <c r="E4" s="5"/>
      <c r="F4" s="5"/>
      <c r="G4" s="5"/>
      <c r="H4" s="5"/>
      <c r="I4" s="5"/>
      <c r="J4" s="5"/>
      <c r="K4" s="5"/>
      <c r="L4" s="5"/>
    </row>
    <row r="5" spans="2:12" ht="12.75">
      <c r="B5" s="589"/>
      <c r="C5" s="4"/>
      <c r="D5" s="5"/>
      <c r="E5" s="5"/>
      <c r="F5" s="5"/>
      <c r="G5" s="5"/>
      <c r="H5" s="5"/>
      <c r="I5" s="5"/>
      <c r="J5" s="5"/>
      <c r="K5" s="5"/>
      <c r="L5" s="5"/>
    </row>
    <row r="6" spans="2:12" ht="13.5" thickBot="1">
      <c r="B6" s="589"/>
      <c r="C6" s="6"/>
      <c r="D6" s="7"/>
      <c r="E6" s="7"/>
      <c r="F6" s="7"/>
      <c r="G6" s="7"/>
      <c r="H6" s="7"/>
      <c r="I6" s="7"/>
      <c r="J6" s="7"/>
      <c r="K6" s="7"/>
      <c r="L6" s="7"/>
    </row>
    <row r="7" spans="2:12" ht="13.5" thickBot="1">
      <c r="B7" s="589"/>
      <c r="C7" s="591" t="s">
        <v>2</v>
      </c>
      <c r="D7" s="592"/>
      <c r="E7" s="592"/>
      <c r="F7" s="592"/>
      <c r="G7" s="592"/>
      <c r="H7" s="592"/>
      <c r="I7" s="592"/>
      <c r="J7" s="592"/>
      <c r="K7" s="592"/>
      <c r="L7" s="593"/>
    </row>
    <row r="8" spans="2:12" ht="13.5" thickBot="1">
      <c r="B8" s="590"/>
      <c r="C8" s="8">
        <v>1</v>
      </c>
      <c r="D8" s="9">
        <v>2</v>
      </c>
      <c r="E8" s="9">
        <v>3</v>
      </c>
      <c r="F8" s="9">
        <v>4</v>
      </c>
      <c r="G8" s="9">
        <v>5</v>
      </c>
      <c r="H8" s="9">
        <v>6</v>
      </c>
      <c r="I8" s="9">
        <v>7</v>
      </c>
      <c r="J8" s="9">
        <v>8</v>
      </c>
      <c r="K8" s="9">
        <v>9</v>
      </c>
      <c r="L8" s="10">
        <v>10</v>
      </c>
    </row>
    <row r="9" spans="2:12" ht="12.75">
      <c r="B9" s="11">
        <v>0</v>
      </c>
      <c r="C9" s="12">
        <v>50</v>
      </c>
      <c r="D9" s="12">
        <v>50</v>
      </c>
      <c r="E9" s="12">
        <v>50</v>
      </c>
      <c r="F9" s="12">
        <v>50</v>
      </c>
      <c r="G9" s="12">
        <v>50</v>
      </c>
      <c r="H9" s="12">
        <v>50</v>
      </c>
      <c r="I9" s="12">
        <v>50</v>
      </c>
      <c r="J9" s="12">
        <v>50</v>
      </c>
      <c r="K9" s="12">
        <v>50</v>
      </c>
      <c r="L9" s="13">
        <v>50</v>
      </c>
    </row>
    <row r="10" spans="2:12" ht="12.75">
      <c r="B10" s="14">
        <v>1001</v>
      </c>
      <c r="C10" s="15">
        <v>65</v>
      </c>
      <c r="D10" s="15">
        <v>66</v>
      </c>
      <c r="E10" s="15">
        <v>66</v>
      </c>
      <c r="F10" s="15">
        <v>67</v>
      </c>
      <c r="G10" s="15">
        <v>68</v>
      </c>
      <c r="H10" s="15">
        <v>68</v>
      </c>
      <c r="I10" s="15">
        <v>69</v>
      </c>
      <c r="J10" s="15">
        <v>70</v>
      </c>
      <c r="K10" s="15">
        <v>71</v>
      </c>
      <c r="L10" s="16">
        <v>71</v>
      </c>
    </row>
    <row r="11" spans="2:12" ht="12.75">
      <c r="B11" s="14">
        <v>1051</v>
      </c>
      <c r="C11" s="15">
        <v>98</v>
      </c>
      <c r="D11" s="15">
        <v>99</v>
      </c>
      <c r="E11" s="15">
        <v>100</v>
      </c>
      <c r="F11" s="15">
        <v>101</v>
      </c>
      <c r="G11" s="15">
        <v>103</v>
      </c>
      <c r="H11" s="15">
        <v>104</v>
      </c>
      <c r="I11" s="15">
        <v>105</v>
      </c>
      <c r="J11" s="15">
        <v>106</v>
      </c>
      <c r="K11" s="15">
        <v>107</v>
      </c>
      <c r="L11" s="16">
        <v>108</v>
      </c>
    </row>
    <row r="12" spans="2:12" ht="12.75">
      <c r="B12" s="14">
        <v>1101</v>
      </c>
      <c r="C12" s="15">
        <v>132</v>
      </c>
      <c r="D12" s="15">
        <v>133</v>
      </c>
      <c r="E12" s="15">
        <v>135</v>
      </c>
      <c r="F12" s="15">
        <v>136</v>
      </c>
      <c r="G12" s="15">
        <v>137</v>
      </c>
      <c r="H12" s="15">
        <v>139</v>
      </c>
      <c r="I12" s="15">
        <v>140</v>
      </c>
      <c r="J12" s="15">
        <v>142</v>
      </c>
      <c r="K12" s="15">
        <v>143</v>
      </c>
      <c r="L12" s="16">
        <v>145</v>
      </c>
    </row>
    <row r="13" spans="2:12" ht="12.75">
      <c r="B13" s="14">
        <v>1151</v>
      </c>
      <c r="C13" s="15">
        <v>165</v>
      </c>
      <c r="D13" s="15">
        <v>167</v>
      </c>
      <c r="E13" s="15">
        <v>169</v>
      </c>
      <c r="F13" s="15">
        <v>171</v>
      </c>
      <c r="G13" s="15">
        <v>172</v>
      </c>
      <c r="H13" s="15">
        <v>174</v>
      </c>
      <c r="I13" s="15">
        <v>176</v>
      </c>
      <c r="J13" s="15">
        <v>178</v>
      </c>
      <c r="K13" s="15">
        <v>180</v>
      </c>
      <c r="L13" s="16">
        <v>182</v>
      </c>
    </row>
    <row r="14" spans="2:12" ht="12.75">
      <c r="B14" s="14">
        <v>1201</v>
      </c>
      <c r="C14" s="15">
        <v>198</v>
      </c>
      <c r="D14" s="15">
        <v>201</v>
      </c>
      <c r="E14" s="15">
        <v>203</v>
      </c>
      <c r="F14" s="15">
        <v>205</v>
      </c>
      <c r="G14" s="15">
        <v>207</v>
      </c>
      <c r="H14" s="15">
        <v>209</v>
      </c>
      <c r="I14" s="15">
        <v>212</v>
      </c>
      <c r="J14" s="15">
        <v>214</v>
      </c>
      <c r="K14" s="15">
        <v>216</v>
      </c>
      <c r="L14" s="16">
        <v>218</v>
      </c>
    </row>
    <row r="15" spans="2:12" ht="12.75">
      <c r="B15" s="14">
        <v>1251</v>
      </c>
      <c r="C15" s="15">
        <v>232</v>
      </c>
      <c r="D15" s="15">
        <v>234</v>
      </c>
      <c r="E15" s="15">
        <v>237</v>
      </c>
      <c r="F15" s="15">
        <v>240</v>
      </c>
      <c r="G15" s="15">
        <v>242</v>
      </c>
      <c r="H15" s="15">
        <v>245</v>
      </c>
      <c r="I15" s="15">
        <v>247</v>
      </c>
      <c r="J15" s="15">
        <v>250</v>
      </c>
      <c r="K15" s="15">
        <v>252</v>
      </c>
      <c r="L15" s="16">
        <v>255</v>
      </c>
    </row>
    <row r="16" spans="2:12" ht="12.75">
      <c r="B16" s="14">
        <v>1301</v>
      </c>
      <c r="C16" s="15">
        <v>265</v>
      </c>
      <c r="D16" s="15">
        <v>268</v>
      </c>
      <c r="E16" s="15">
        <v>271</v>
      </c>
      <c r="F16" s="15">
        <v>274</v>
      </c>
      <c r="G16" s="15">
        <v>277</v>
      </c>
      <c r="H16" s="15">
        <v>280</v>
      </c>
      <c r="I16" s="15">
        <v>283</v>
      </c>
      <c r="J16" s="15">
        <v>286</v>
      </c>
      <c r="K16" s="15">
        <v>289</v>
      </c>
      <c r="L16" s="16">
        <v>292</v>
      </c>
    </row>
    <row r="17" spans="2:12" ht="12.75">
      <c r="B17" s="14">
        <v>1351</v>
      </c>
      <c r="C17" s="17">
        <v>290</v>
      </c>
      <c r="D17" s="15">
        <v>301</v>
      </c>
      <c r="E17" s="15">
        <v>305</v>
      </c>
      <c r="F17" s="15">
        <v>308</v>
      </c>
      <c r="G17" s="15">
        <v>311</v>
      </c>
      <c r="H17" s="15">
        <v>315</v>
      </c>
      <c r="I17" s="15">
        <v>318</v>
      </c>
      <c r="J17" s="15">
        <v>321</v>
      </c>
      <c r="K17" s="15">
        <v>324</v>
      </c>
      <c r="L17" s="16">
        <v>328</v>
      </c>
    </row>
    <row r="18" spans="2:12" ht="12.75">
      <c r="B18" s="14">
        <v>1401</v>
      </c>
      <c r="C18" s="17">
        <v>298</v>
      </c>
      <c r="D18" s="15">
        <v>333</v>
      </c>
      <c r="E18" s="15">
        <v>337</v>
      </c>
      <c r="F18" s="15">
        <v>340</v>
      </c>
      <c r="G18" s="15">
        <v>344</v>
      </c>
      <c r="H18" s="15">
        <v>348</v>
      </c>
      <c r="I18" s="15">
        <v>351</v>
      </c>
      <c r="J18" s="15">
        <v>355</v>
      </c>
      <c r="K18" s="15">
        <v>359</v>
      </c>
      <c r="L18" s="16">
        <v>362</v>
      </c>
    </row>
    <row r="19" spans="2:12" ht="12.75">
      <c r="B19" s="14">
        <v>1451</v>
      </c>
      <c r="C19" s="17">
        <v>307</v>
      </c>
      <c r="D19" s="15">
        <v>365</v>
      </c>
      <c r="E19" s="15">
        <v>369</v>
      </c>
      <c r="F19" s="15">
        <v>373</v>
      </c>
      <c r="G19" s="15">
        <v>377</v>
      </c>
      <c r="H19" s="15">
        <v>381</v>
      </c>
      <c r="I19" s="15">
        <v>385</v>
      </c>
      <c r="J19" s="15">
        <v>389</v>
      </c>
      <c r="K19" s="15">
        <v>393</v>
      </c>
      <c r="L19" s="16">
        <v>397</v>
      </c>
    </row>
    <row r="20" spans="2:12" ht="12.75">
      <c r="B20" s="14">
        <v>1501</v>
      </c>
      <c r="C20" s="17">
        <v>315</v>
      </c>
      <c r="D20" s="15">
        <v>396</v>
      </c>
      <c r="E20" s="15">
        <v>401</v>
      </c>
      <c r="F20" s="15">
        <v>405</v>
      </c>
      <c r="G20" s="15">
        <v>410</v>
      </c>
      <c r="H20" s="15">
        <v>414</v>
      </c>
      <c r="I20" s="15">
        <v>418</v>
      </c>
      <c r="J20" s="15">
        <v>423</v>
      </c>
      <c r="K20" s="15">
        <v>427</v>
      </c>
      <c r="L20" s="16">
        <v>431</v>
      </c>
    </row>
    <row r="21" spans="2:12" ht="12.75">
      <c r="B21" s="14">
        <v>1551</v>
      </c>
      <c r="C21" s="17">
        <v>324</v>
      </c>
      <c r="D21" s="15">
        <v>428</v>
      </c>
      <c r="E21" s="15">
        <v>433</v>
      </c>
      <c r="F21" s="15">
        <v>438</v>
      </c>
      <c r="G21" s="15">
        <v>442</v>
      </c>
      <c r="H21" s="15">
        <v>447</v>
      </c>
      <c r="I21" s="15">
        <v>452</v>
      </c>
      <c r="J21" s="15">
        <v>456</v>
      </c>
      <c r="K21" s="15">
        <v>461</v>
      </c>
      <c r="L21" s="16">
        <v>466</v>
      </c>
    </row>
    <row r="22" spans="2:12" ht="12.75">
      <c r="B22" s="14">
        <v>1601</v>
      </c>
      <c r="C22" s="17">
        <v>332</v>
      </c>
      <c r="D22" s="15">
        <v>460</v>
      </c>
      <c r="E22" s="15">
        <v>465</v>
      </c>
      <c r="F22" s="15">
        <v>470</v>
      </c>
      <c r="G22" s="15">
        <v>475</v>
      </c>
      <c r="H22" s="15">
        <v>480</v>
      </c>
      <c r="I22" s="15">
        <v>485</v>
      </c>
      <c r="J22" s="15">
        <v>490</v>
      </c>
      <c r="K22" s="15">
        <v>495</v>
      </c>
      <c r="L22" s="16">
        <v>500</v>
      </c>
    </row>
    <row r="23" spans="2:12" ht="12.75">
      <c r="B23" s="14">
        <v>1651</v>
      </c>
      <c r="C23" s="17">
        <v>341</v>
      </c>
      <c r="D23" s="15">
        <v>492</v>
      </c>
      <c r="E23" s="15">
        <v>497</v>
      </c>
      <c r="F23" s="15">
        <v>502</v>
      </c>
      <c r="G23" s="15">
        <v>508</v>
      </c>
      <c r="H23" s="15">
        <v>513</v>
      </c>
      <c r="I23" s="15">
        <v>519</v>
      </c>
      <c r="J23" s="15">
        <v>524</v>
      </c>
      <c r="K23" s="15">
        <v>529</v>
      </c>
      <c r="L23" s="16">
        <v>535</v>
      </c>
    </row>
    <row r="24" spans="2:12" ht="12.75">
      <c r="B24" s="14">
        <v>1701</v>
      </c>
      <c r="C24" s="17">
        <v>349</v>
      </c>
      <c r="D24" s="17">
        <v>508</v>
      </c>
      <c r="E24" s="15">
        <v>529</v>
      </c>
      <c r="F24" s="15">
        <v>535</v>
      </c>
      <c r="G24" s="15">
        <v>541</v>
      </c>
      <c r="H24" s="15">
        <v>546</v>
      </c>
      <c r="I24" s="15">
        <v>552</v>
      </c>
      <c r="J24" s="15">
        <v>558</v>
      </c>
      <c r="K24" s="15">
        <v>564</v>
      </c>
      <c r="L24" s="16">
        <v>569</v>
      </c>
    </row>
    <row r="25" spans="2:12" ht="12.75">
      <c r="B25" s="14">
        <v>1751</v>
      </c>
      <c r="C25" s="17">
        <v>358</v>
      </c>
      <c r="D25" s="17">
        <v>520</v>
      </c>
      <c r="E25" s="15">
        <v>561</v>
      </c>
      <c r="F25" s="15">
        <v>567</v>
      </c>
      <c r="G25" s="15">
        <v>573</v>
      </c>
      <c r="H25" s="15">
        <v>579</v>
      </c>
      <c r="I25" s="15">
        <v>586</v>
      </c>
      <c r="J25" s="15">
        <v>592</v>
      </c>
      <c r="K25" s="15">
        <v>598</v>
      </c>
      <c r="L25" s="16">
        <v>604</v>
      </c>
    </row>
    <row r="26" spans="2:12" ht="12.75">
      <c r="B26" s="14">
        <v>1801</v>
      </c>
      <c r="C26" s="17">
        <v>366</v>
      </c>
      <c r="D26" s="17">
        <v>532</v>
      </c>
      <c r="E26" s="15">
        <v>593</v>
      </c>
      <c r="F26" s="15">
        <v>600</v>
      </c>
      <c r="G26" s="15">
        <v>606</v>
      </c>
      <c r="H26" s="15">
        <v>613</v>
      </c>
      <c r="I26" s="15">
        <v>619</v>
      </c>
      <c r="J26" s="15">
        <v>625</v>
      </c>
      <c r="K26" s="15">
        <v>632</v>
      </c>
      <c r="L26" s="16">
        <v>638</v>
      </c>
    </row>
    <row r="27" spans="2:12" ht="12.75">
      <c r="B27" s="14">
        <v>1851</v>
      </c>
      <c r="C27" s="17">
        <v>375</v>
      </c>
      <c r="D27" s="17">
        <v>545</v>
      </c>
      <c r="E27" s="15">
        <v>625</v>
      </c>
      <c r="F27" s="15">
        <v>632</v>
      </c>
      <c r="G27" s="15">
        <v>639</v>
      </c>
      <c r="H27" s="15">
        <v>646</v>
      </c>
      <c r="I27" s="15">
        <v>652</v>
      </c>
      <c r="J27" s="15">
        <v>659</v>
      </c>
      <c r="K27" s="15">
        <v>666</v>
      </c>
      <c r="L27" s="16">
        <v>673</v>
      </c>
    </row>
    <row r="28" spans="2:12" ht="12.75">
      <c r="B28" s="14">
        <v>1901</v>
      </c>
      <c r="C28" s="17">
        <v>383</v>
      </c>
      <c r="D28" s="17">
        <v>557</v>
      </c>
      <c r="E28" s="17">
        <v>657</v>
      </c>
      <c r="F28" s="15">
        <v>664</v>
      </c>
      <c r="G28" s="15">
        <v>672</v>
      </c>
      <c r="H28" s="15">
        <v>679</v>
      </c>
      <c r="I28" s="15">
        <v>686</v>
      </c>
      <c r="J28" s="15">
        <v>693</v>
      </c>
      <c r="K28" s="15">
        <v>700</v>
      </c>
      <c r="L28" s="16">
        <v>707</v>
      </c>
    </row>
    <row r="29" spans="2:12" ht="12.75">
      <c r="B29" s="14">
        <v>1951</v>
      </c>
      <c r="C29" s="17">
        <v>391</v>
      </c>
      <c r="D29" s="17">
        <v>568</v>
      </c>
      <c r="E29" s="17">
        <v>671</v>
      </c>
      <c r="F29" s="15">
        <v>697</v>
      </c>
      <c r="G29" s="15">
        <v>704</v>
      </c>
      <c r="H29" s="15">
        <v>712</v>
      </c>
      <c r="I29" s="15">
        <v>719</v>
      </c>
      <c r="J29" s="15">
        <v>727</v>
      </c>
      <c r="K29" s="15">
        <v>734</v>
      </c>
      <c r="L29" s="16">
        <v>742</v>
      </c>
    </row>
    <row r="30" spans="2:12" ht="12.75">
      <c r="B30" s="14">
        <v>2001</v>
      </c>
      <c r="C30" s="17">
        <v>400</v>
      </c>
      <c r="D30" s="17">
        <v>580</v>
      </c>
      <c r="E30" s="17">
        <v>685</v>
      </c>
      <c r="F30" s="15">
        <v>729</v>
      </c>
      <c r="G30" s="15">
        <v>737</v>
      </c>
      <c r="H30" s="15">
        <v>745</v>
      </c>
      <c r="I30" s="15">
        <v>753</v>
      </c>
      <c r="J30" s="15">
        <v>761</v>
      </c>
      <c r="K30" s="15">
        <v>768</v>
      </c>
      <c r="L30" s="16">
        <v>776</v>
      </c>
    </row>
    <row r="31" spans="2:12" ht="12.75">
      <c r="B31" s="14">
        <v>2051</v>
      </c>
      <c r="C31" s="17">
        <v>408</v>
      </c>
      <c r="D31" s="17">
        <v>592</v>
      </c>
      <c r="E31" s="17">
        <v>699</v>
      </c>
      <c r="F31" s="15">
        <v>762</v>
      </c>
      <c r="G31" s="15">
        <v>770</v>
      </c>
      <c r="H31" s="15">
        <v>778</v>
      </c>
      <c r="I31" s="15">
        <v>786</v>
      </c>
      <c r="J31" s="15">
        <v>794</v>
      </c>
      <c r="K31" s="15">
        <v>803</v>
      </c>
      <c r="L31" s="16">
        <v>811</v>
      </c>
    </row>
    <row r="32" spans="2:12" ht="12.75">
      <c r="B32" s="14">
        <v>2101</v>
      </c>
      <c r="C32" s="17">
        <v>416</v>
      </c>
      <c r="D32" s="17">
        <v>604</v>
      </c>
      <c r="E32" s="17">
        <v>713</v>
      </c>
      <c r="F32" s="15">
        <v>794</v>
      </c>
      <c r="G32" s="15">
        <v>803</v>
      </c>
      <c r="H32" s="15">
        <v>811</v>
      </c>
      <c r="I32" s="15">
        <v>820</v>
      </c>
      <c r="J32" s="15">
        <v>828</v>
      </c>
      <c r="K32" s="15">
        <v>837</v>
      </c>
      <c r="L32" s="16">
        <v>845</v>
      </c>
    </row>
    <row r="33" spans="2:12" ht="12.75">
      <c r="B33" s="14">
        <v>2151</v>
      </c>
      <c r="C33" s="17">
        <v>425</v>
      </c>
      <c r="D33" s="17">
        <v>616</v>
      </c>
      <c r="E33" s="17">
        <v>727</v>
      </c>
      <c r="F33" s="17">
        <v>812</v>
      </c>
      <c r="G33" s="15">
        <v>835</v>
      </c>
      <c r="H33" s="15">
        <v>844</v>
      </c>
      <c r="I33" s="15">
        <v>853</v>
      </c>
      <c r="J33" s="15">
        <v>862</v>
      </c>
      <c r="K33" s="15">
        <v>871</v>
      </c>
      <c r="L33" s="16">
        <v>880</v>
      </c>
    </row>
    <row r="34" spans="2:12" ht="12.75">
      <c r="B34" s="14">
        <v>2201</v>
      </c>
      <c r="C34" s="17">
        <v>433</v>
      </c>
      <c r="D34" s="17">
        <v>628</v>
      </c>
      <c r="E34" s="17">
        <v>741</v>
      </c>
      <c r="F34" s="17">
        <v>827</v>
      </c>
      <c r="G34" s="15">
        <v>868</v>
      </c>
      <c r="H34" s="15">
        <v>877</v>
      </c>
      <c r="I34" s="15">
        <v>887</v>
      </c>
      <c r="J34" s="15">
        <v>896</v>
      </c>
      <c r="K34" s="15">
        <v>905</v>
      </c>
      <c r="L34" s="16">
        <v>914</v>
      </c>
    </row>
    <row r="35" spans="2:12" ht="12.75">
      <c r="B35" s="14">
        <v>2251</v>
      </c>
      <c r="C35" s="17">
        <v>441</v>
      </c>
      <c r="D35" s="17">
        <v>640</v>
      </c>
      <c r="E35" s="17">
        <v>754</v>
      </c>
      <c r="F35" s="17">
        <v>843</v>
      </c>
      <c r="G35" s="15">
        <v>901</v>
      </c>
      <c r="H35" s="15">
        <v>910</v>
      </c>
      <c r="I35" s="15">
        <v>920</v>
      </c>
      <c r="J35" s="15">
        <v>930</v>
      </c>
      <c r="K35" s="15">
        <v>939</v>
      </c>
      <c r="L35" s="16">
        <v>949</v>
      </c>
    </row>
    <row r="36" spans="2:12" ht="12.75">
      <c r="B36" s="14">
        <v>2301</v>
      </c>
      <c r="C36" s="17">
        <v>450</v>
      </c>
      <c r="D36" s="17">
        <v>652</v>
      </c>
      <c r="E36" s="17">
        <v>768</v>
      </c>
      <c r="F36" s="17">
        <v>858</v>
      </c>
      <c r="G36" s="15">
        <v>934</v>
      </c>
      <c r="H36" s="15">
        <v>944</v>
      </c>
      <c r="I36" s="15">
        <v>954</v>
      </c>
      <c r="J36" s="15">
        <v>963</v>
      </c>
      <c r="K36" s="15">
        <v>973</v>
      </c>
      <c r="L36" s="16">
        <v>983</v>
      </c>
    </row>
    <row r="37" spans="2:12" ht="12.75">
      <c r="B37" s="14">
        <v>2351</v>
      </c>
      <c r="C37" s="17">
        <v>458</v>
      </c>
      <c r="D37" s="17">
        <v>664</v>
      </c>
      <c r="E37" s="17">
        <v>782</v>
      </c>
      <c r="F37" s="17">
        <v>874</v>
      </c>
      <c r="G37" s="17">
        <v>961</v>
      </c>
      <c r="H37" s="15">
        <v>977</v>
      </c>
      <c r="I37" s="15">
        <v>987</v>
      </c>
      <c r="J37" s="15">
        <v>997</v>
      </c>
      <c r="K37" s="15">
        <v>1008</v>
      </c>
      <c r="L37" s="16">
        <v>1018</v>
      </c>
    </row>
    <row r="38" spans="2:12" ht="12.75">
      <c r="B38" s="14">
        <v>2401</v>
      </c>
      <c r="C38" s="17">
        <v>466</v>
      </c>
      <c r="D38" s="17">
        <v>676</v>
      </c>
      <c r="E38" s="17">
        <v>796</v>
      </c>
      <c r="F38" s="17">
        <v>889</v>
      </c>
      <c r="G38" s="17">
        <v>978</v>
      </c>
      <c r="H38" s="15">
        <v>1010</v>
      </c>
      <c r="I38" s="15">
        <v>1020</v>
      </c>
      <c r="J38" s="15">
        <v>1031</v>
      </c>
      <c r="K38" s="15">
        <v>1042</v>
      </c>
      <c r="L38" s="16">
        <v>1052</v>
      </c>
    </row>
    <row r="39" spans="2:12" ht="12.75">
      <c r="B39" s="14">
        <v>2451</v>
      </c>
      <c r="C39" s="17">
        <v>475</v>
      </c>
      <c r="D39" s="17">
        <v>688</v>
      </c>
      <c r="E39" s="17">
        <v>810</v>
      </c>
      <c r="F39" s="17">
        <v>905</v>
      </c>
      <c r="G39" s="17">
        <v>995</v>
      </c>
      <c r="H39" s="15">
        <v>1043</v>
      </c>
      <c r="I39" s="15">
        <v>1054</v>
      </c>
      <c r="J39" s="15">
        <v>1065</v>
      </c>
      <c r="K39" s="15">
        <v>1076</v>
      </c>
      <c r="L39" s="16">
        <v>1087</v>
      </c>
    </row>
    <row r="40" spans="2:12" ht="12.75">
      <c r="B40" s="14">
        <v>2501</v>
      </c>
      <c r="C40" s="17">
        <v>483</v>
      </c>
      <c r="D40" s="17">
        <v>700</v>
      </c>
      <c r="E40" s="17">
        <v>824</v>
      </c>
      <c r="F40" s="17">
        <v>920</v>
      </c>
      <c r="G40" s="17">
        <v>1012</v>
      </c>
      <c r="H40" s="15">
        <v>1076</v>
      </c>
      <c r="I40" s="15">
        <v>1087</v>
      </c>
      <c r="J40" s="15">
        <v>1099</v>
      </c>
      <c r="K40" s="15">
        <v>1110</v>
      </c>
      <c r="L40" s="16">
        <v>1121</v>
      </c>
    </row>
    <row r="41" spans="2:12" ht="12.75">
      <c r="B41" s="14">
        <v>2551</v>
      </c>
      <c r="C41" s="17">
        <v>491</v>
      </c>
      <c r="D41" s="17">
        <v>711</v>
      </c>
      <c r="E41" s="17">
        <v>838</v>
      </c>
      <c r="F41" s="17">
        <v>936</v>
      </c>
      <c r="G41" s="17">
        <v>1030</v>
      </c>
      <c r="H41" s="15">
        <v>1109</v>
      </c>
      <c r="I41" s="15">
        <v>1121</v>
      </c>
      <c r="J41" s="15">
        <v>1132</v>
      </c>
      <c r="K41" s="15">
        <v>1144</v>
      </c>
      <c r="L41" s="16">
        <v>1156</v>
      </c>
    </row>
    <row r="42" spans="2:12" ht="12.75">
      <c r="B42" s="14">
        <v>2601</v>
      </c>
      <c r="C42" s="17">
        <v>499</v>
      </c>
      <c r="D42" s="17">
        <v>723</v>
      </c>
      <c r="E42" s="17">
        <v>852</v>
      </c>
      <c r="F42" s="17">
        <v>952</v>
      </c>
      <c r="G42" s="17">
        <v>1047</v>
      </c>
      <c r="H42" s="17">
        <v>1138</v>
      </c>
      <c r="I42" s="15">
        <v>1154</v>
      </c>
      <c r="J42" s="15">
        <v>1166</v>
      </c>
      <c r="K42" s="15">
        <v>1178</v>
      </c>
      <c r="L42" s="16">
        <v>1190</v>
      </c>
    </row>
    <row r="43" spans="2:12" ht="12.75">
      <c r="B43" s="14">
        <v>2651</v>
      </c>
      <c r="C43" s="17">
        <v>508</v>
      </c>
      <c r="D43" s="17">
        <v>735</v>
      </c>
      <c r="E43" s="17">
        <v>866</v>
      </c>
      <c r="F43" s="17">
        <v>967</v>
      </c>
      <c r="G43" s="17">
        <v>1064</v>
      </c>
      <c r="H43" s="17">
        <v>1156</v>
      </c>
      <c r="I43" s="15">
        <v>1188</v>
      </c>
      <c r="J43" s="15">
        <v>1200</v>
      </c>
      <c r="K43" s="15">
        <v>1212</v>
      </c>
      <c r="L43" s="16">
        <v>1225</v>
      </c>
    </row>
    <row r="44" spans="2:12" ht="12.75">
      <c r="B44" s="14">
        <v>2701</v>
      </c>
      <c r="C44" s="17">
        <v>516</v>
      </c>
      <c r="D44" s="17">
        <v>747</v>
      </c>
      <c r="E44" s="17">
        <v>880</v>
      </c>
      <c r="F44" s="17">
        <v>983</v>
      </c>
      <c r="G44" s="17">
        <v>1081</v>
      </c>
      <c r="H44" s="17">
        <v>1175</v>
      </c>
      <c r="I44" s="15">
        <v>1221</v>
      </c>
      <c r="J44" s="15">
        <v>1234</v>
      </c>
      <c r="K44" s="15">
        <v>1247</v>
      </c>
      <c r="L44" s="16">
        <v>1259</v>
      </c>
    </row>
    <row r="45" spans="2:12" ht="12.75">
      <c r="B45" s="14">
        <v>2751</v>
      </c>
      <c r="C45" s="17">
        <v>524</v>
      </c>
      <c r="D45" s="17">
        <v>759</v>
      </c>
      <c r="E45" s="17">
        <v>894</v>
      </c>
      <c r="F45" s="17">
        <v>998</v>
      </c>
      <c r="G45" s="17">
        <v>1098</v>
      </c>
      <c r="H45" s="17">
        <v>1194</v>
      </c>
      <c r="I45" s="15">
        <v>1255</v>
      </c>
      <c r="J45" s="15">
        <v>1268</v>
      </c>
      <c r="K45" s="15">
        <v>1281</v>
      </c>
      <c r="L45" s="16">
        <v>1294</v>
      </c>
    </row>
    <row r="46" spans="2:12" ht="12.75">
      <c r="B46" s="14">
        <v>2801</v>
      </c>
      <c r="C46" s="17">
        <v>533</v>
      </c>
      <c r="D46" s="17">
        <v>771</v>
      </c>
      <c r="E46" s="17">
        <v>908</v>
      </c>
      <c r="F46" s="17">
        <v>1014</v>
      </c>
      <c r="G46" s="17">
        <v>1116</v>
      </c>
      <c r="H46" s="17">
        <v>1213</v>
      </c>
      <c r="I46" s="15">
        <v>1288</v>
      </c>
      <c r="J46" s="15">
        <v>1301</v>
      </c>
      <c r="K46" s="15">
        <v>1315</v>
      </c>
      <c r="L46" s="16">
        <v>1328</v>
      </c>
    </row>
    <row r="47" spans="2:12" ht="12.75">
      <c r="B47" s="14">
        <v>2851</v>
      </c>
      <c r="C47" s="17">
        <v>541</v>
      </c>
      <c r="D47" s="17">
        <v>784</v>
      </c>
      <c r="E47" s="17">
        <v>923</v>
      </c>
      <c r="F47" s="17">
        <v>1031</v>
      </c>
      <c r="G47" s="17">
        <v>1134</v>
      </c>
      <c r="H47" s="17">
        <v>1232</v>
      </c>
      <c r="I47" s="15">
        <v>1322</v>
      </c>
      <c r="J47" s="15">
        <v>1335</v>
      </c>
      <c r="K47" s="15">
        <v>1349</v>
      </c>
      <c r="L47" s="16">
        <v>1363</v>
      </c>
    </row>
    <row r="48" spans="2:12" ht="12.75">
      <c r="B48" s="14">
        <v>2901</v>
      </c>
      <c r="C48" s="17">
        <v>550</v>
      </c>
      <c r="D48" s="17">
        <v>796</v>
      </c>
      <c r="E48" s="17">
        <v>937</v>
      </c>
      <c r="F48" s="17">
        <v>1047</v>
      </c>
      <c r="G48" s="17">
        <v>1151</v>
      </c>
      <c r="H48" s="17">
        <v>1252</v>
      </c>
      <c r="I48" s="17">
        <v>1349</v>
      </c>
      <c r="J48" s="15">
        <v>1369</v>
      </c>
      <c r="K48" s="15">
        <v>1383</v>
      </c>
      <c r="L48" s="16">
        <v>1397</v>
      </c>
    </row>
    <row r="49" spans="2:12" ht="12.75">
      <c r="B49" s="14">
        <v>2951</v>
      </c>
      <c r="C49" s="17">
        <v>558</v>
      </c>
      <c r="D49" s="17">
        <v>808</v>
      </c>
      <c r="E49" s="17">
        <v>951</v>
      </c>
      <c r="F49" s="17">
        <v>1063</v>
      </c>
      <c r="G49" s="17">
        <v>1169</v>
      </c>
      <c r="H49" s="17">
        <v>1271</v>
      </c>
      <c r="I49" s="17">
        <v>1370</v>
      </c>
      <c r="J49" s="15">
        <v>1402</v>
      </c>
      <c r="K49" s="15">
        <v>1416</v>
      </c>
      <c r="L49" s="16">
        <v>1431</v>
      </c>
    </row>
    <row r="50" spans="2:12" ht="12.75">
      <c r="B50" s="14">
        <v>3001</v>
      </c>
      <c r="C50" s="17">
        <v>566</v>
      </c>
      <c r="D50" s="17">
        <v>820</v>
      </c>
      <c r="E50" s="17">
        <v>966</v>
      </c>
      <c r="F50" s="17">
        <v>1078</v>
      </c>
      <c r="G50" s="17">
        <v>1186</v>
      </c>
      <c r="H50" s="17">
        <v>1290</v>
      </c>
      <c r="I50" s="17">
        <v>1390</v>
      </c>
      <c r="J50" s="15">
        <v>1435</v>
      </c>
      <c r="K50" s="15">
        <v>1450</v>
      </c>
      <c r="L50" s="16">
        <v>1465</v>
      </c>
    </row>
    <row r="51" spans="2:12" ht="12.75">
      <c r="B51" s="14">
        <v>3051</v>
      </c>
      <c r="C51" s="17">
        <v>575</v>
      </c>
      <c r="D51" s="17">
        <v>832</v>
      </c>
      <c r="E51" s="17">
        <v>980</v>
      </c>
      <c r="F51" s="17">
        <v>1094</v>
      </c>
      <c r="G51" s="17">
        <v>1204</v>
      </c>
      <c r="H51" s="17">
        <v>1309</v>
      </c>
      <c r="I51" s="17">
        <v>1411</v>
      </c>
      <c r="J51" s="15">
        <v>1468</v>
      </c>
      <c r="K51" s="15">
        <v>1483</v>
      </c>
      <c r="L51" s="16">
        <v>1498</v>
      </c>
    </row>
    <row r="52" spans="2:12" ht="12.75">
      <c r="B52" s="14">
        <v>3101</v>
      </c>
      <c r="C52" s="17">
        <v>583</v>
      </c>
      <c r="D52" s="17">
        <v>844</v>
      </c>
      <c r="E52" s="17">
        <v>994</v>
      </c>
      <c r="F52" s="17">
        <v>1110</v>
      </c>
      <c r="G52" s="17">
        <v>1221</v>
      </c>
      <c r="H52" s="17">
        <v>1328</v>
      </c>
      <c r="I52" s="17">
        <v>1431</v>
      </c>
      <c r="J52" s="15">
        <v>1501</v>
      </c>
      <c r="K52" s="15">
        <v>1517</v>
      </c>
      <c r="L52" s="16">
        <v>1532</v>
      </c>
    </row>
    <row r="53" spans="2:12" ht="12.75">
      <c r="B53" s="14">
        <v>3151</v>
      </c>
      <c r="C53" s="17">
        <v>591</v>
      </c>
      <c r="D53" s="17">
        <v>856</v>
      </c>
      <c r="E53" s="17">
        <v>1008</v>
      </c>
      <c r="F53" s="17">
        <v>1126</v>
      </c>
      <c r="G53" s="17">
        <v>1239</v>
      </c>
      <c r="H53" s="17">
        <v>1347</v>
      </c>
      <c r="I53" s="17">
        <v>1452</v>
      </c>
      <c r="J53" s="15">
        <v>1534</v>
      </c>
      <c r="K53" s="15">
        <v>1550</v>
      </c>
      <c r="L53" s="16">
        <v>1566</v>
      </c>
    </row>
    <row r="54" spans="2:12" ht="12.75">
      <c r="B54" s="14">
        <v>3201</v>
      </c>
      <c r="C54" s="17">
        <v>599</v>
      </c>
      <c r="D54" s="17">
        <v>868</v>
      </c>
      <c r="E54" s="17">
        <v>1022</v>
      </c>
      <c r="F54" s="17">
        <v>1142</v>
      </c>
      <c r="G54" s="17">
        <v>1256</v>
      </c>
      <c r="H54" s="17">
        <v>1365</v>
      </c>
      <c r="I54" s="17">
        <v>1471</v>
      </c>
      <c r="J54" s="15">
        <v>1566</v>
      </c>
      <c r="K54" s="15">
        <v>1583</v>
      </c>
      <c r="L54" s="16">
        <v>1599</v>
      </c>
    </row>
    <row r="55" spans="2:12" ht="12.75">
      <c r="B55" s="14">
        <v>3251</v>
      </c>
      <c r="C55" s="17">
        <v>606</v>
      </c>
      <c r="D55" s="17">
        <v>878</v>
      </c>
      <c r="E55" s="17">
        <v>1034</v>
      </c>
      <c r="F55" s="17">
        <v>1155</v>
      </c>
      <c r="G55" s="17">
        <v>1271</v>
      </c>
      <c r="H55" s="17">
        <v>1381</v>
      </c>
      <c r="I55" s="17">
        <v>1489</v>
      </c>
      <c r="J55" s="17">
        <v>1593</v>
      </c>
      <c r="K55" s="15">
        <v>1611</v>
      </c>
      <c r="L55" s="16">
        <v>1628</v>
      </c>
    </row>
    <row r="56" spans="2:12" ht="12.75">
      <c r="B56" s="14">
        <v>3301</v>
      </c>
      <c r="C56" s="17">
        <v>613</v>
      </c>
      <c r="D56" s="17">
        <v>888</v>
      </c>
      <c r="E56" s="17">
        <v>1046</v>
      </c>
      <c r="F56" s="17">
        <v>1169</v>
      </c>
      <c r="G56" s="17">
        <v>1286</v>
      </c>
      <c r="H56" s="17">
        <v>1397</v>
      </c>
      <c r="I56" s="17">
        <v>1506</v>
      </c>
      <c r="J56" s="17">
        <v>1612</v>
      </c>
      <c r="K56" s="15">
        <v>1640</v>
      </c>
      <c r="L56" s="16">
        <v>1656</v>
      </c>
    </row>
    <row r="57" spans="2:12" ht="12.75">
      <c r="B57" s="14">
        <v>3351</v>
      </c>
      <c r="C57" s="17">
        <v>620</v>
      </c>
      <c r="D57" s="17">
        <v>898</v>
      </c>
      <c r="E57" s="17">
        <v>1058</v>
      </c>
      <c r="F57" s="17">
        <v>1182</v>
      </c>
      <c r="G57" s="17">
        <v>1300</v>
      </c>
      <c r="H57" s="17">
        <v>1414</v>
      </c>
      <c r="I57" s="17">
        <v>1524</v>
      </c>
      <c r="J57" s="17">
        <v>1631</v>
      </c>
      <c r="K57" s="15">
        <v>1668</v>
      </c>
      <c r="L57" s="16">
        <v>1685</v>
      </c>
    </row>
    <row r="58" spans="2:12" ht="12.75">
      <c r="B58" s="14">
        <v>3401</v>
      </c>
      <c r="C58" s="17">
        <v>627</v>
      </c>
      <c r="D58" s="17">
        <v>909</v>
      </c>
      <c r="E58" s="17">
        <v>1071</v>
      </c>
      <c r="F58" s="17">
        <v>1196</v>
      </c>
      <c r="G58" s="17">
        <v>1315</v>
      </c>
      <c r="H58" s="17">
        <v>1430</v>
      </c>
      <c r="I58" s="17">
        <v>1541</v>
      </c>
      <c r="J58" s="17">
        <v>1649</v>
      </c>
      <c r="K58" s="15">
        <v>1697</v>
      </c>
      <c r="L58" s="16">
        <v>1714</v>
      </c>
    </row>
    <row r="59" spans="2:12" ht="12.75">
      <c r="B59" s="14">
        <v>3451</v>
      </c>
      <c r="C59" s="17">
        <v>634</v>
      </c>
      <c r="D59" s="17">
        <v>919</v>
      </c>
      <c r="E59" s="17">
        <v>1083</v>
      </c>
      <c r="F59" s="17">
        <v>1209</v>
      </c>
      <c r="G59" s="17">
        <v>1330</v>
      </c>
      <c r="H59" s="17">
        <v>1446</v>
      </c>
      <c r="I59" s="17">
        <v>1559</v>
      </c>
      <c r="J59" s="17">
        <v>1668</v>
      </c>
      <c r="K59" s="15">
        <v>1725</v>
      </c>
      <c r="L59" s="16">
        <v>1743</v>
      </c>
    </row>
    <row r="60" spans="2:12" ht="12.75">
      <c r="B60" s="14">
        <v>3501</v>
      </c>
      <c r="C60" s="17">
        <v>642</v>
      </c>
      <c r="D60" s="17">
        <v>929</v>
      </c>
      <c r="E60" s="17">
        <v>1095</v>
      </c>
      <c r="F60" s="17">
        <v>1223</v>
      </c>
      <c r="G60" s="17">
        <v>1345</v>
      </c>
      <c r="H60" s="17">
        <v>1462</v>
      </c>
      <c r="I60" s="17">
        <v>1576</v>
      </c>
      <c r="J60" s="17">
        <v>1687</v>
      </c>
      <c r="K60" s="15">
        <v>1754</v>
      </c>
      <c r="L60" s="16">
        <v>1772</v>
      </c>
    </row>
    <row r="61" spans="2:12" ht="12.75">
      <c r="B61" s="14">
        <v>3551</v>
      </c>
      <c r="C61" s="17">
        <v>649</v>
      </c>
      <c r="D61" s="17">
        <v>939</v>
      </c>
      <c r="E61" s="17">
        <v>1107</v>
      </c>
      <c r="F61" s="17">
        <v>1237</v>
      </c>
      <c r="G61" s="17">
        <v>1360</v>
      </c>
      <c r="H61" s="17">
        <v>1479</v>
      </c>
      <c r="I61" s="17">
        <v>1594</v>
      </c>
      <c r="J61" s="17">
        <v>1705</v>
      </c>
      <c r="K61" s="15">
        <v>1783</v>
      </c>
      <c r="L61" s="16">
        <v>1801</v>
      </c>
    </row>
    <row r="62" spans="2:12" ht="12.75">
      <c r="B62" s="14">
        <v>3601</v>
      </c>
      <c r="C62" s="17">
        <v>656</v>
      </c>
      <c r="D62" s="17">
        <v>950</v>
      </c>
      <c r="E62" s="17">
        <v>1119</v>
      </c>
      <c r="F62" s="17">
        <v>1250</v>
      </c>
      <c r="G62" s="17">
        <v>1375</v>
      </c>
      <c r="H62" s="17">
        <v>1495</v>
      </c>
      <c r="I62" s="17">
        <v>1611</v>
      </c>
      <c r="J62" s="17">
        <v>1724</v>
      </c>
      <c r="K62" s="15">
        <v>1811</v>
      </c>
      <c r="L62" s="16">
        <v>1830</v>
      </c>
    </row>
    <row r="63" spans="2:12" ht="12.75">
      <c r="B63" s="14">
        <v>3651</v>
      </c>
      <c r="C63" s="17">
        <v>663</v>
      </c>
      <c r="D63" s="17">
        <v>960</v>
      </c>
      <c r="E63" s="17">
        <v>1131</v>
      </c>
      <c r="F63" s="17">
        <v>1264</v>
      </c>
      <c r="G63" s="17">
        <v>1390</v>
      </c>
      <c r="H63" s="17">
        <v>1511</v>
      </c>
      <c r="I63" s="17">
        <v>1629</v>
      </c>
      <c r="J63" s="17">
        <v>1743</v>
      </c>
      <c r="K63" s="17">
        <v>1855</v>
      </c>
      <c r="L63" s="16">
        <v>1859</v>
      </c>
    </row>
    <row r="64" spans="2:12" ht="12.75">
      <c r="B64" s="14">
        <v>3701</v>
      </c>
      <c r="C64" s="17">
        <v>670</v>
      </c>
      <c r="D64" s="17">
        <v>970</v>
      </c>
      <c r="E64" s="17">
        <v>1144</v>
      </c>
      <c r="F64" s="17">
        <v>1277</v>
      </c>
      <c r="G64" s="17">
        <v>1405</v>
      </c>
      <c r="H64" s="17">
        <v>1527</v>
      </c>
      <c r="I64" s="17">
        <v>1646</v>
      </c>
      <c r="J64" s="17">
        <v>1762</v>
      </c>
      <c r="K64" s="17">
        <v>1874</v>
      </c>
      <c r="L64" s="16">
        <v>1887</v>
      </c>
    </row>
    <row r="65" spans="2:12" ht="12.75">
      <c r="B65" s="14">
        <v>3751</v>
      </c>
      <c r="C65" s="17">
        <v>677</v>
      </c>
      <c r="D65" s="17">
        <v>980</v>
      </c>
      <c r="E65" s="17">
        <v>1156</v>
      </c>
      <c r="F65" s="17">
        <v>1291</v>
      </c>
      <c r="G65" s="17">
        <v>1420</v>
      </c>
      <c r="H65" s="17">
        <v>1544</v>
      </c>
      <c r="I65" s="17">
        <v>1664</v>
      </c>
      <c r="J65" s="17">
        <v>1780</v>
      </c>
      <c r="K65" s="17">
        <v>1894</v>
      </c>
      <c r="L65" s="16">
        <v>1916</v>
      </c>
    </row>
    <row r="66" spans="2:12" ht="12.75">
      <c r="B66" s="14">
        <v>3801</v>
      </c>
      <c r="C66" s="17">
        <v>683</v>
      </c>
      <c r="D66" s="17">
        <v>988</v>
      </c>
      <c r="E66" s="17">
        <v>1165</v>
      </c>
      <c r="F66" s="17">
        <v>1301</v>
      </c>
      <c r="G66" s="17">
        <v>1431</v>
      </c>
      <c r="H66" s="17">
        <v>1556</v>
      </c>
      <c r="I66" s="17">
        <v>1677</v>
      </c>
      <c r="J66" s="17">
        <v>1794</v>
      </c>
      <c r="K66" s="17">
        <v>1909</v>
      </c>
      <c r="L66" s="16">
        <v>1945</v>
      </c>
    </row>
    <row r="67" spans="2:12" ht="12.75">
      <c r="B67" s="14">
        <v>3851</v>
      </c>
      <c r="C67" s="17">
        <v>688</v>
      </c>
      <c r="D67" s="17">
        <v>996</v>
      </c>
      <c r="E67" s="17">
        <v>1173</v>
      </c>
      <c r="F67" s="17">
        <v>1310</v>
      </c>
      <c r="G67" s="17">
        <v>1441</v>
      </c>
      <c r="H67" s="17">
        <v>1567</v>
      </c>
      <c r="I67" s="17">
        <v>1689</v>
      </c>
      <c r="J67" s="17">
        <v>1807</v>
      </c>
      <c r="K67" s="17">
        <v>1923</v>
      </c>
      <c r="L67" s="16">
        <v>1974</v>
      </c>
    </row>
    <row r="68" spans="2:12" ht="12.75">
      <c r="B68" s="14">
        <v>3901</v>
      </c>
      <c r="C68" s="17">
        <v>694</v>
      </c>
      <c r="D68" s="17">
        <v>1003</v>
      </c>
      <c r="E68" s="17">
        <v>1181</v>
      </c>
      <c r="F68" s="17">
        <v>1319</v>
      </c>
      <c r="G68" s="17">
        <v>1451</v>
      </c>
      <c r="H68" s="17">
        <v>1578</v>
      </c>
      <c r="I68" s="17">
        <v>1701</v>
      </c>
      <c r="J68" s="17">
        <v>1820</v>
      </c>
      <c r="K68" s="17">
        <v>1936</v>
      </c>
      <c r="L68" s="16">
        <v>2003</v>
      </c>
    </row>
    <row r="69" spans="2:12" ht="12.75">
      <c r="B69" s="14">
        <v>3951</v>
      </c>
      <c r="C69" s="17">
        <v>699</v>
      </c>
      <c r="D69" s="17">
        <v>1011</v>
      </c>
      <c r="E69" s="17">
        <v>1189</v>
      </c>
      <c r="F69" s="17">
        <v>1329</v>
      </c>
      <c r="G69" s="17">
        <v>1461</v>
      </c>
      <c r="H69" s="17">
        <v>1588</v>
      </c>
      <c r="I69" s="17">
        <v>1712</v>
      </c>
      <c r="J69" s="17">
        <v>1832</v>
      </c>
      <c r="K69" s="17">
        <v>1950</v>
      </c>
      <c r="L69" s="16">
        <v>2032</v>
      </c>
    </row>
    <row r="70" spans="2:12" ht="12.75">
      <c r="B70" s="14">
        <v>4001</v>
      </c>
      <c r="C70" s="17">
        <v>704</v>
      </c>
      <c r="D70" s="17">
        <v>1018</v>
      </c>
      <c r="E70" s="17">
        <v>1198</v>
      </c>
      <c r="F70" s="17">
        <v>1338</v>
      </c>
      <c r="G70" s="17">
        <v>1471</v>
      </c>
      <c r="H70" s="17">
        <v>1599</v>
      </c>
      <c r="I70" s="17">
        <v>1724</v>
      </c>
      <c r="J70" s="17">
        <v>1845</v>
      </c>
      <c r="K70" s="17">
        <v>1963</v>
      </c>
      <c r="L70" s="16">
        <v>2061</v>
      </c>
    </row>
    <row r="71" spans="2:12" ht="12.75">
      <c r="B71" s="14">
        <v>4051</v>
      </c>
      <c r="C71" s="17">
        <v>710</v>
      </c>
      <c r="D71" s="17">
        <v>1026</v>
      </c>
      <c r="E71" s="17">
        <v>1206</v>
      </c>
      <c r="F71" s="17">
        <v>1347</v>
      </c>
      <c r="G71" s="17">
        <v>1482</v>
      </c>
      <c r="H71" s="17">
        <v>1610</v>
      </c>
      <c r="I71" s="17">
        <v>1736</v>
      </c>
      <c r="J71" s="17">
        <v>1858</v>
      </c>
      <c r="K71" s="17">
        <v>1977</v>
      </c>
      <c r="L71" s="16">
        <v>2090</v>
      </c>
    </row>
    <row r="72" spans="2:12" ht="12.75">
      <c r="B72" s="14">
        <v>4101</v>
      </c>
      <c r="C72" s="17">
        <v>715</v>
      </c>
      <c r="D72" s="17">
        <v>1033</v>
      </c>
      <c r="E72" s="17">
        <v>1214</v>
      </c>
      <c r="F72" s="17">
        <v>1356</v>
      </c>
      <c r="G72" s="17">
        <v>1492</v>
      </c>
      <c r="H72" s="17">
        <v>1621</v>
      </c>
      <c r="I72" s="17">
        <v>1748</v>
      </c>
      <c r="J72" s="17">
        <v>1870</v>
      </c>
      <c r="K72" s="17">
        <v>1990</v>
      </c>
      <c r="L72" s="18">
        <v>2105</v>
      </c>
    </row>
    <row r="73" spans="2:12" ht="12.75">
      <c r="B73" s="14">
        <v>4151</v>
      </c>
      <c r="C73" s="17">
        <v>721</v>
      </c>
      <c r="D73" s="17">
        <v>1040</v>
      </c>
      <c r="E73" s="17">
        <v>1222</v>
      </c>
      <c r="F73" s="17">
        <v>1365</v>
      </c>
      <c r="G73" s="17">
        <v>1502</v>
      </c>
      <c r="H73" s="17">
        <v>1632</v>
      </c>
      <c r="I73" s="17">
        <v>1760</v>
      </c>
      <c r="J73" s="17">
        <v>1883</v>
      </c>
      <c r="K73" s="17">
        <v>2004</v>
      </c>
      <c r="L73" s="18">
        <v>2120</v>
      </c>
    </row>
    <row r="74" spans="2:12" ht="12.75">
      <c r="B74" s="14">
        <v>4201</v>
      </c>
      <c r="C74" s="17">
        <v>726</v>
      </c>
      <c r="D74" s="17">
        <v>1048</v>
      </c>
      <c r="E74" s="17">
        <v>1231</v>
      </c>
      <c r="F74" s="17">
        <v>1374</v>
      </c>
      <c r="G74" s="17">
        <v>1512</v>
      </c>
      <c r="H74" s="17">
        <v>1643</v>
      </c>
      <c r="I74" s="17">
        <v>1772</v>
      </c>
      <c r="J74" s="17">
        <v>1896</v>
      </c>
      <c r="K74" s="17">
        <v>2017</v>
      </c>
      <c r="L74" s="18">
        <v>2134</v>
      </c>
    </row>
    <row r="75" spans="2:12" ht="12.75">
      <c r="B75" s="14">
        <v>4251</v>
      </c>
      <c r="C75" s="17">
        <v>732</v>
      </c>
      <c r="D75" s="17">
        <v>1055</v>
      </c>
      <c r="E75" s="17">
        <v>1239</v>
      </c>
      <c r="F75" s="17">
        <v>1384</v>
      </c>
      <c r="G75" s="17">
        <v>1522</v>
      </c>
      <c r="H75" s="17">
        <v>1654</v>
      </c>
      <c r="I75" s="17">
        <v>1784</v>
      </c>
      <c r="J75" s="17">
        <v>1908</v>
      </c>
      <c r="K75" s="17">
        <v>2030</v>
      </c>
      <c r="L75" s="18">
        <v>2148</v>
      </c>
    </row>
    <row r="76" spans="2:12" ht="12.75">
      <c r="B76" s="14">
        <v>4301</v>
      </c>
      <c r="C76" s="17">
        <v>737</v>
      </c>
      <c r="D76" s="17">
        <v>1063</v>
      </c>
      <c r="E76" s="17">
        <v>1247</v>
      </c>
      <c r="F76" s="17">
        <v>1393</v>
      </c>
      <c r="G76" s="17">
        <v>1532</v>
      </c>
      <c r="H76" s="17">
        <v>1665</v>
      </c>
      <c r="I76" s="17">
        <v>1795</v>
      </c>
      <c r="J76" s="17">
        <v>1921</v>
      </c>
      <c r="K76" s="17">
        <v>2044</v>
      </c>
      <c r="L76" s="18">
        <v>2163</v>
      </c>
    </row>
    <row r="77" spans="2:12" ht="12.75">
      <c r="B77" s="14">
        <v>4351</v>
      </c>
      <c r="C77" s="17">
        <v>742</v>
      </c>
      <c r="D77" s="17">
        <v>1070</v>
      </c>
      <c r="E77" s="17">
        <v>1255</v>
      </c>
      <c r="F77" s="17">
        <v>1402</v>
      </c>
      <c r="G77" s="17">
        <v>1542</v>
      </c>
      <c r="H77" s="17">
        <v>1676</v>
      </c>
      <c r="I77" s="17">
        <v>1807</v>
      </c>
      <c r="J77" s="17">
        <v>1934</v>
      </c>
      <c r="K77" s="17">
        <v>2057</v>
      </c>
      <c r="L77" s="18">
        <v>2177</v>
      </c>
    </row>
    <row r="78" spans="2:12" ht="12.75">
      <c r="B78" s="14">
        <v>4401</v>
      </c>
      <c r="C78" s="17">
        <v>748</v>
      </c>
      <c r="D78" s="17">
        <v>1078</v>
      </c>
      <c r="E78" s="17">
        <v>1263</v>
      </c>
      <c r="F78" s="17">
        <v>1411</v>
      </c>
      <c r="G78" s="17">
        <v>1552</v>
      </c>
      <c r="H78" s="17">
        <v>1687</v>
      </c>
      <c r="I78" s="17">
        <v>1819</v>
      </c>
      <c r="J78" s="17">
        <v>1946</v>
      </c>
      <c r="K78" s="17">
        <v>2071</v>
      </c>
      <c r="L78" s="18">
        <v>2191</v>
      </c>
    </row>
    <row r="79" spans="2:12" ht="12.75">
      <c r="B79" s="14">
        <v>4451</v>
      </c>
      <c r="C79" s="17">
        <v>753</v>
      </c>
      <c r="D79" s="17">
        <v>1085</v>
      </c>
      <c r="E79" s="17">
        <v>1272</v>
      </c>
      <c r="F79" s="17">
        <v>1420</v>
      </c>
      <c r="G79" s="17">
        <v>1563</v>
      </c>
      <c r="H79" s="17">
        <v>1698</v>
      </c>
      <c r="I79" s="17">
        <v>1831</v>
      </c>
      <c r="J79" s="17">
        <v>1959</v>
      </c>
      <c r="K79" s="17">
        <v>2084</v>
      </c>
      <c r="L79" s="18">
        <v>2205</v>
      </c>
    </row>
    <row r="80" spans="2:12" ht="12.75">
      <c r="B80" s="14">
        <v>4501</v>
      </c>
      <c r="C80" s="17">
        <v>758</v>
      </c>
      <c r="D80" s="17">
        <v>1092</v>
      </c>
      <c r="E80" s="17">
        <v>1279</v>
      </c>
      <c r="F80" s="17">
        <v>1429</v>
      </c>
      <c r="G80" s="17">
        <v>1572</v>
      </c>
      <c r="H80" s="17">
        <v>1709</v>
      </c>
      <c r="I80" s="17">
        <v>1842</v>
      </c>
      <c r="J80" s="17">
        <v>1971</v>
      </c>
      <c r="K80" s="17">
        <v>2097</v>
      </c>
      <c r="L80" s="18">
        <v>2219</v>
      </c>
    </row>
    <row r="81" spans="2:12" ht="12.75">
      <c r="B81" s="14">
        <v>4551</v>
      </c>
      <c r="C81" s="17">
        <v>761</v>
      </c>
      <c r="D81" s="17">
        <v>1097</v>
      </c>
      <c r="E81" s="17">
        <v>1285</v>
      </c>
      <c r="F81" s="17">
        <v>1436</v>
      </c>
      <c r="G81" s="17">
        <v>1579</v>
      </c>
      <c r="H81" s="17">
        <v>1717</v>
      </c>
      <c r="I81" s="17">
        <v>1850</v>
      </c>
      <c r="J81" s="17">
        <v>1980</v>
      </c>
      <c r="K81" s="17">
        <v>2107</v>
      </c>
      <c r="L81" s="18">
        <v>2229</v>
      </c>
    </row>
    <row r="82" spans="2:12" ht="12.75">
      <c r="B82" s="14">
        <v>4601</v>
      </c>
      <c r="C82" s="17">
        <v>765</v>
      </c>
      <c r="D82" s="17">
        <v>1102</v>
      </c>
      <c r="E82" s="17">
        <v>1291</v>
      </c>
      <c r="F82" s="17">
        <v>1442</v>
      </c>
      <c r="G82" s="17">
        <v>1586</v>
      </c>
      <c r="H82" s="17">
        <v>1724</v>
      </c>
      <c r="I82" s="17">
        <v>1859</v>
      </c>
      <c r="J82" s="17">
        <v>1989</v>
      </c>
      <c r="K82" s="17">
        <v>2116</v>
      </c>
      <c r="L82" s="18">
        <v>2239</v>
      </c>
    </row>
    <row r="83" spans="2:12" ht="12.75">
      <c r="B83" s="14">
        <v>4651</v>
      </c>
      <c r="C83" s="17">
        <v>768</v>
      </c>
      <c r="D83" s="17">
        <v>1107</v>
      </c>
      <c r="E83" s="17">
        <v>1297</v>
      </c>
      <c r="F83" s="17">
        <v>1449</v>
      </c>
      <c r="G83" s="17">
        <v>1594</v>
      </c>
      <c r="H83" s="17">
        <v>1732</v>
      </c>
      <c r="I83" s="17">
        <v>1868</v>
      </c>
      <c r="J83" s="17">
        <v>1998</v>
      </c>
      <c r="K83" s="17">
        <v>2126</v>
      </c>
      <c r="L83" s="18">
        <v>2249</v>
      </c>
    </row>
    <row r="84" spans="2:12" ht="12.75">
      <c r="B84" s="14">
        <v>4701</v>
      </c>
      <c r="C84" s="17">
        <v>771</v>
      </c>
      <c r="D84" s="17">
        <v>1111</v>
      </c>
      <c r="E84" s="17">
        <v>1303</v>
      </c>
      <c r="F84" s="17">
        <v>1455</v>
      </c>
      <c r="G84" s="17">
        <v>1601</v>
      </c>
      <c r="H84" s="17">
        <v>1740</v>
      </c>
      <c r="I84" s="17">
        <v>1876</v>
      </c>
      <c r="J84" s="17">
        <v>2007</v>
      </c>
      <c r="K84" s="17">
        <v>2136</v>
      </c>
      <c r="L84" s="18">
        <v>2260</v>
      </c>
    </row>
    <row r="85" spans="2:12" ht="12.75">
      <c r="B85" s="14">
        <v>4751</v>
      </c>
      <c r="C85" s="17">
        <v>775</v>
      </c>
      <c r="D85" s="17">
        <v>1116</v>
      </c>
      <c r="E85" s="17">
        <v>1309</v>
      </c>
      <c r="F85" s="17">
        <v>1462</v>
      </c>
      <c r="G85" s="17">
        <v>1608</v>
      </c>
      <c r="H85" s="17">
        <v>1748</v>
      </c>
      <c r="I85" s="17">
        <v>1885</v>
      </c>
      <c r="J85" s="17">
        <v>2017</v>
      </c>
      <c r="K85" s="17">
        <v>2146</v>
      </c>
      <c r="L85" s="18">
        <v>2270</v>
      </c>
    </row>
    <row r="86" spans="2:12" ht="12.75">
      <c r="B86" s="14">
        <v>4801</v>
      </c>
      <c r="C86" s="17">
        <v>778</v>
      </c>
      <c r="D86" s="17">
        <v>1121</v>
      </c>
      <c r="E86" s="17">
        <v>1315</v>
      </c>
      <c r="F86" s="17">
        <v>1469</v>
      </c>
      <c r="G86" s="17">
        <v>1616</v>
      </c>
      <c r="H86" s="17">
        <v>1756</v>
      </c>
      <c r="I86" s="17">
        <v>1893</v>
      </c>
      <c r="J86" s="17">
        <v>2026</v>
      </c>
      <c r="K86" s="17">
        <v>2155</v>
      </c>
      <c r="L86" s="18">
        <v>2280</v>
      </c>
    </row>
    <row r="87" spans="2:12" ht="12.75">
      <c r="B87" s="14">
        <v>4851</v>
      </c>
      <c r="C87" s="17">
        <v>781</v>
      </c>
      <c r="D87" s="17">
        <v>1126</v>
      </c>
      <c r="E87" s="17">
        <v>1321</v>
      </c>
      <c r="F87" s="17">
        <v>1475</v>
      </c>
      <c r="G87" s="17">
        <v>1623</v>
      </c>
      <c r="H87" s="17">
        <v>1764</v>
      </c>
      <c r="I87" s="17">
        <v>1902</v>
      </c>
      <c r="J87" s="17">
        <v>2035</v>
      </c>
      <c r="K87" s="17">
        <v>2165</v>
      </c>
      <c r="L87" s="18">
        <v>2291</v>
      </c>
    </row>
    <row r="88" spans="2:12" ht="12.75">
      <c r="B88" s="14">
        <v>4901</v>
      </c>
      <c r="C88" s="17">
        <v>784</v>
      </c>
      <c r="D88" s="17">
        <v>1131</v>
      </c>
      <c r="E88" s="17">
        <v>1327</v>
      </c>
      <c r="F88" s="17">
        <v>1482</v>
      </c>
      <c r="G88" s="17">
        <v>1630</v>
      </c>
      <c r="H88" s="17">
        <v>1772</v>
      </c>
      <c r="I88" s="17">
        <v>1910</v>
      </c>
      <c r="J88" s="17">
        <v>2044</v>
      </c>
      <c r="K88" s="17">
        <v>2175</v>
      </c>
      <c r="L88" s="18">
        <v>2301</v>
      </c>
    </row>
    <row r="89" spans="2:12" ht="12.75">
      <c r="B89" s="14">
        <v>4951</v>
      </c>
      <c r="C89" s="17">
        <v>788</v>
      </c>
      <c r="D89" s="17">
        <v>1136</v>
      </c>
      <c r="E89" s="17">
        <v>1333</v>
      </c>
      <c r="F89" s="17">
        <v>1489</v>
      </c>
      <c r="G89" s="17">
        <v>1637</v>
      </c>
      <c r="H89" s="17">
        <v>1780</v>
      </c>
      <c r="I89" s="17">
        <v>1919</v>
      </c>
      <c r="J89" s="17">
        <v>2053</v>
      </c>
      <c r="K89" s="17">
        <v>2184</v>
      </c>
      <c r="L89" s="18">
        <v>2311</v>
      </c>
    </row>
    <row r="90" spans="2:12" ht="12.75">
      <c r="B90" s="14">
        <v>5001</v>
      </c>
      <c r="C90" s="17">
        <v>791</v>
      </c>
      <c r="D90" s="17">
        <v>1141</v>
      </c>
      <c r="E90" s="17">
        <v>1339</v>
      </c>
      <c r="F90" s="17">
        <v>1495</v>
      </c>
      <c r="G90" s="17">
        <v>1645</v>
      </c>
      <c r="H90" s="17">
        <v>1788</v>
      </c>
      <c r="I90" s="17">
        <v>1927</v>
      </c>
      <c r="J90" s="17">
        <v>2062</v>
      </c>
      <c r="K90" s="17">
        <v>2194</v>
      </c>
      <c r="L90" s="18">
        <v>2321</v>
      </c>
    </row>
    <row r="91" spans="2:12" ht="12.75">
      <c r="B91" s="14">
        <v>5051</v>
      </c>
      <c r="C91" s="17">
        <v>794</v>
      </c>
      <c r="D91" s="17">
        <v>1146</v>
      </c>
      <c r="E91" s="17">
        <v>1345</v>
      </c>
      <c r="F91" s="17">
        <v>1502</v>
      </c>
      <c r="G91" s="17">
        <v>1652</v>
      </c>
      <c r="H91" s="17">
        <v>1796</v>
      </c>
      <c r="I91" s="17">
        <v>1936</v>
      </c>
      <c r="J91" s="17">
        <v>2071</v>
      </c>
      <c r="K91" s="17">
        <v>2204</v>
      </c>
      <c r="L91" s="18">
        <v>2332</v>
      </c>
    </row>
    <row r="92" spans="2:12" ht="12.75">
      <c r="B92" s="14">
        <v>5101</v>
      </c>
      <c r="C92" s="17">
        <v>798</v>
      </c>
      <c r="D92" s="17">
        <v>1151</v>
      </c>
      <c r="E92" s="17">
        <v>1350</v>
      </c>
      <c r="F92" s="17">
        <v>1509</v>
      </c>
      <c r="G92" s="17">
        <v>1659</v>
      </c>
      <c r="H92" s="17">
        <v>1804</v>
      </c>
      <c r="I92" s="17">
        <v>1944</v>
      </c>
      <c r="J92" s="17">
        <v>2081</v>
      </c>
      <c r="K92" s="17">
        <v>2214</v>
      </c>
      <c r="L92" s="18">
        <v>2342</v>
      </c>
    </row>
    <row r="93" spans="2:12" ht="12.75">
      <c r="B93" s="14">
        <v>5151</v>
      </c>
      <c r="C93" s="17">
        <v>801</v>
      </c>
      <c r="D93" s="17">
        <v>1156</v>
      </c>
      <c r="E93" s="17">
        <v>1356</v>
      </c>
      <c r="F93" s="17">
        <v>1515</v>
      </c>
      <c r="G93" s="17">
        <v>1667</v>
      </c>
      <c r="H93" s="17">
        <v>1812</v>
      </c>
      <c r="I93" s="17">
        <v>1953</v>
      </c>
      <c r="J93" s="17">
        <v>2090</v>
      </c>
      <c r="K93" s="17">
        <v>2223</v>
      </c>
      <c r="L93" s="18">
        <v>2352</v>
      </c>
    </row>
    <row r="94" spans="2:12" ht="12.75">
      <c r="B94" s="14">
        <v>5201</v>
      </c>
      <c r="C94" s="17">
        <v>804</v>
      </c>
      <c r="D94" s="17">
        <v>1161</v>
      </c>
      <c r="E94" s="17">
        <v>1362</v>
      </c>
      <c r="F94" s="17">
        <v>1522</v>
      </c>
      <c r="G94" s="17">
        <v>1674</v>
      </c>
      <c r="H94" s="17">
        <v>1820</v>
      </c>
      <c r="I94" s="17">
        <v>1961</v>
      </c>
      <c r="J94" s="17">
        <v>2099</v>
      </c>
      <c r="K94" s="17">
        <v>2233</v>
      </c>
      <c r="L94" s="18">
        <v>2363</v>
      </c>
    </row>
    <row r="95" spans="2:12" ht="12.75">
      <c r="B95" s="14">
        <v>5251</v>
      </c>
      <c r="C95" s="17">
        <v>808</v>
      </c>
      <c r="D95" s="17">
        <v>1165</v>
      </c>
      <c r="E95" s="17">
        <v>1368</v>
      </c>
      <c r="F95" s="17">
        <v>1528</v>
      </c>
      <c r="G95" s="17">
        <v>1681</v>
      </c>
      <c r="H95" s="17">
        <v>1827</v>
      </c>
      <c r="I95" s="17">
        <v>1970</v>
      </c>
      <c r="J95" s="17">
        <v>2108</v>
      </c>
      <c r="K95" s="17">
        <v>2242</v>
      </c>
      <c r="L95" s="18">
        <v>2373</v>
      </c>
    </row>
    <row r="96" spans="2:12" ht="12.75">
      <c r="B96" s="14">
        <v>5301</v>
      </c>
      <c r="C96" s="17">
        <v>811</v>
      </c>
      <c r="D96" s="17">
        <v>1170</v>
      </c>
      <c r="E96" s="17">
        <v>1374</v>
      </c>
      <c r="F96" s="17">
        <v>1534</v>
      </c>
      <c r="G96" s="17">
        <v>1688</v>
      </c>
      <c r="H96" s="17">
        <v>1835</v>
      </c>
      <c r="I96" s="17">
        <v>1978</v>
      </c>
      <c r="J96" s="17">
        <v>2116</v>
      </c>
      <c r="K96" s="17">
        <v>2252</v>
      </c>
      <c r="L96" s="18">
        <v>2382</v>
      </c>
    </row>
    <row r="97" spans="2:12" ht="12.75">
      <c r="B97" s="14">
        <v>5351</v>
      </c>
      <c r="C97" s="17">
        <v>815</v>
      </c>
      <c r="D97" s="17">
        <v>1175</v>
      </c>
      <c r="E97" s="17">
        <v>1379</v>
      </c>
      <c r="F97" s="17">
        <v>1541</v>
      </c>
      <c r="G97" s="17">
        <v>1695</v>
      </c>
      <c r="H97" s="17">
        <v>1842</v>
      </c>
      <c r="I97" s="17">
        <v>1986</v>
      </c>
      <c r="J97" s="17">
        <v>2125</v>
      </c>
      <c r="K97" s="17">
        <v>2261</v>
      </c>
      <c r="L97" s="18">
        <v>2392</v>
      </c>
    </row>
    <row r="98" spans="2:12" ht="12.75">
      <c r="B98" s="14">
        <v>5401</v>
      </c>
      <c r="C98" s="17">
        <v>819</v>
      </c>
      <c r="D98" s="17">
        <v>1180</v>
      </c>
      <c r="E98" s="17">
        <v>1385</v>
      </c>
      <c r="F98" s="17">
        <v>1547</v>
      </c>
      <c r="G98" s="17">
        <v>1702</v>
      </c>
      <c r="H98" s="17">
        <v>1850</v>
      </c>
      <c r="I98" s="17">
        <v>1994</v>
      </c>
      <c r="J98" s="17">
        <v>2133</v>
      </c>
      <c r="K98" s="17">
        <v>2270</v>
      </c>
      <c r="L98" s="18">
        <v>2402</v>
      </c>
    </row>
    <row r="99" spans="2:12" ht="12.75">
      <c r="B99" s="14">
        <v>5451</v>
      </c>
      <c r="C99" s="17">
        <v>822</v>
      </c>
      <c r="D99" s="17">
        <v>1185</v>
      </c>
      <c r="E99" s="17">
        <v>1390</v>
      </c>
      <c r="F99" s="17">
        <v>1553</v>
      </c>
      <c r="G99" s="17">
        <v>1708</v>
      </c>
      <c r="H99" s="17">
        <v>1857</v>
      </c>
      <c r="I99" s="17">
        <v>2002</v>
      </c>
      <c r="J99" s="17">
        <v>2142</v>
      </c>
      <c r="K99" s="17">
        <v>2279</v>
      </c>
      <c r="L99" s="18">
        <v>2411</v>
      </c>
    </row>
    <row r="100" spans="2:12" ht="12.75">
      <c r="B100" s="14">
        <v>5501</v>
      </c>
      <c r="C100" s="17">
        <v>826</v>
      </c>
      <c r="D100" s="17">
        <v>1190</v>
      </c>
      <c r="E100" s="17">
        <v>1396</v>
      </c>
      <c r="F100" s="17">
        <v>1559</v>
      </c>
      <c r="G100" s="17">
        <v>1715</v>
      </c>
      <c r="H100" s="17">
        <v>1865</v>
      </c>
      <c r="I100" s="17">
        <v>2010</v>
      </c>
      <c r="J100" s="17">
        <v>2151</v>
      </c>
      <c r="K100" s="17">
        <v>2288</v>
      </c>
      <c r="L100" s="18">
        <v>2421</v>
      </c>
    </row>
    <row r="101" spans="2:12" ht="12.75">
      <c r="B101" s="14">
        <v>5551</v>
      </c>
      <c r="C101" s="17">
        <v>829</v>
      </c>
      <c r="D101" s="17">
        <v>1195</v>
      </c>
      <c r="E101" s="17">
        <v>1402</v>
      </c>
      <c r="F101" s="17">
        <v>1566</v>
      </c>
      <c r="G101" s="17">
        <v>1722</v>
      </c>
      <c r="H101" s="17">
        <v>1872</v>
      </c>
      <c r="I101" s="17">
        <v>2018</v>
      </c>
      <c r="J101" s="17">
        <v>2159</v>
      </c>
      <c r="K101" s="17">
        <v>2298</v>
      </c>
      <c r="L101" s="18">
        <v>2431</v>
      </c>
    </row>
    <row r="102" spans="2:12" ht="12.75">
      <c r="B102" s="14">
        <v>5601</v>
      </c>
      <c r="C102" s="17">
        <v>833</v>
      </c>
      <c r="D102" s="17">
        <v>1200</v>
      </c>
      <c r="E102" s="17">
        <v>1407</v>
      </c>
      <c r="F102" s="17">
        <v>1572</v>
      </c>
      <c r="G102" s="17">
        <v>1729</v>
      </c>
      <c r="H102" s="17">
        <v>1880</v>
      </c>
      <c r="I102" s="17">
        <v>2026</v>
      </c>
      <c r="J102" s="17">
        <v>2168</v>
      </c>
      <c r="K102" s="17">
        <v>2307</v>
      </c>
      <c r="L102" s="18">
        <v>2441</v>
      </c>
    </row>
    <row r="103" spans="2:12" ht="12.75">
      <c r="B103" s="14">
        <v>5651</v>
      </c>
      <c r="C103" s="17">
        <v>836</v>
      </c>
      <c r="D103" s="17">
        <v>1205</v>
      </c>
      <c r="E103" s="17">
        <v>1413</v>
      </c>
      <c r="F103" s="17">
        <v>1578</v>
      </c>
      <c r="G103" s="17">
        <v>1736</v>
      </c>
      <c r="H103" s="17">
        <v>1887</v>
      </c>
      <c r="I103" s="17">
        <v>2034</v>
      </c>
      <c r="J103" s="17">
        <v>2177</v>
      </c>
      <c r="K103" s="17">
        <v>2316</v>
      </c>
      <c r="L103" s="18">
        <v>2450</v>
      </c>
    </row>
    <row r="104" spans="2:12" ht="12.75">
      <c r="B104" s="14">
        <v>5701</v>
      </c>
      <c r="C104" s="17">
        <v>840</v>
      </c>
      <c r="D104" s="17">
        <v>1210</v>
      </c>
      <c r="E104" s="17">
        <v>1418</v>
      </c>
      <c r="F104" s="17">
        <v>1584</v>
      </c>
      <c r="G104" s="17">
        <v>1743</v>
      </c>
      <c r="H104" s="17">
        <v>1895</v>
      </c>
      <c r="I104" s="17">
        <v>2042</v>
      </c>
      <c r="J104" s="17">
        <v>2185</v>
      </c>
      <c r="K104" s="17">
        <v>2325</v>
      </c>
      <c r="L104" s="18">
        <v>2460</v>
      </c>
    </row>
    <row r="105" spans="2:12" ht="12.75">
      <c r="B105" s="14">
        <v>5751</v>
      </c>
      <c r="C105" s="17">
        <v>844</v>
      </c>
      <c r="D105" s="17">
        <v>1215</v>
      </c>
      <c r="E105" s="17">
        <v>1424</v>
      </c>
      <c r="F105" s="17">
        <v>1591</v>
      </c>
      <c r="G105" s="17">
        <v>1750</v>
      </c>
      <c r="H105" s="17">
        <v>1902</v>
      </c>
      <c r="I105" s="17">
        <v>2050</v>
      </c>
      <c r="J105" s="17">
        <v>2194</v>
      </c>
      <c r="K105" s="17">
        <v>2334</v>
      </c>
      <c r="L105" s="18">
        <v>2470</v>
      </c>
    </row>
    <row r="106" spans="2:12" ht="12.75">
      <c r="B106" s="14">
        <v>5801</v>
      </c>
      <c r="C106" s="17">
        <v>847</v>
      </c>
      <c r="D106" s="17">
        <v>1220</v>
      </c>
      <c r="E106" s="17">
        <v>1430</v>
      </c>
      <c r="F106" s="17">
        <v>1597</v>
      </c>
      <c r="G106" s="17">
        <v>1757</v>
      </c>
      <c r="H106" s="17">
        <v>1909</v>
      </c>
      <c r="I106" s="17">
        <v>2058</v>
      </c>
      <c r="J106" s="17">
        <v>2203</v>
      </c>
      <c r="K106" s="17">
        <v>2343</v>
      </c>
      <c r="L106" s="18">
        <v>2479</v>
      </c>
    </row>
    <row r="107" spans="2:12" ht="12.75">
      <c r="B107" s="14">
        <v>5851</v>
      </c>
      <c r="C107" s="17">
        <v>851</v>
      </c>
      <c r="D107" s="17">
        <v>1225</v>
      </c>
      <c r="E107" s="17">
        <v>1435</v>
      </c>
      <c r="F107" s="17">
        <v>1603</v>
      </c>
      <c r="G107" s="17">
        <v>1764</v>
      </c>
      <c r="H107" s="17">
        <v>1917</v>
      </c>
      <c r="I107" s="17">
        <v>2066</v>
      </c>
      <c r="J107" s="17">
        <v>2211</v>
      </c>
      <c r="K107" s="17">
        <v>2353</v>
      </c>
      <c r="L107" s="18">
        <v>2489</v>
      </c>
    </row>
    <row r="108" spans="2:12" ht="12.75">
      <c r="B108" s="14">
        <v>5901</v>
      </c>
      <c r="C108" s="17">
        <v>854</v>
      </c>
      <c r="D108" s="17">
        <v>1230</v>
      </c>
      <c r="E108" s="17">
        <v>1441</v>
      </c>
      <c r="F108" s="17">
        <v>1609</v>
      </c>
      <c r="G108" s="17">
        <v>1770</v>
      </c>
      <c r="H108" s="17">
        <v>1924</v>
      </c>
      <c r="I108" s="17">
        <v>2075</v>
      </c>
      <c r="J108" s="17">
        <v>2220</v>
      </c>
      <c r="K108" s="17">
        <v>2362</v>
      </c>
      <c r="L108" s="18">
        <v>2499</v>
      </c>
    </row>
    <row r="109" spans="2:12" ht="12.75">
      <c r="B109" s="14">
        <v>5951</v>
      </c>
      <c r="C109" s="17">
        <v>858</v>
      </c>
      <c r="D109" s="17">
        <v>1234</v>
      </c>
      <c r="E109" s="17">
        <v>1446</v>
      </c>
      <c r="F109" s="17">
        <v>1615</v>
      </c>
      <c r="G109" s="17">
        <v>1777</v>
      </c>
      <c r="H109" s="17">
        <v>1931</v>
      </c>
      <c r="I109" s="17">
        <v>2082</v>
      </c>
      <c r="J109" s="17">
        <v>2228</v>
      </c>
      <c r="K109" s="17">
        <v>2370</v>
      </c>
      <c r="L109" s="18">
        <v>2508</v>
      </c>
    </row>
    <row r="110" spans="2:12" ht="12.75">
      <c r="B110" s="14">
        <v>6001</v>
      </c>
      <c r="C110" s="17">
        <v>860</v>
      </c>
      <c r="D110" s="17">
        <v>1237</v>
      </c>
      <c r="E110" s="17">
        <v>1448</v>
      </c>
      <c r="F110" s="17">
        <v>1618</v>
      </c>
      <c r="G110" s="17">
        <v>1779</v>
      </c>
      <c r="H110" s="17">
        <v>1934</v>
      </c>
      <c r="I110" s="17">
        <v>2085</v>
      </c>
      <c r="J110" s="17">
        <v>2231</v>
      </c>
      <c r="K110" s="17">
        <v>2374</v>
      </c>
      <c r="L110" s="18">
        <v>2512</v>
      </c>
    </row>
    <row r="111" spans="2:12" ht="12.75">
      <c r="B111" s="14">
        <v>6051</v>
      </c>
      <c r="C111" s="17">
        <v>862</v>
      </c>
      <c r="D111" s="17">
        <v>1239</v>
      </c>
      <c r="E111" s="17">
        <v>1451</v>
      </c>
      <c r="F111" s="17">
        <v>1620</v>
      </c>
      <c r="G111" s="17">
        <v>1782</v>
      </c>
      <c r="H111" s="17">
        <v>1937</v>
      </c>
      <c r="I111" s="17">
        <v>2089</v>
      </c>
      <c r="J111" s="17">
        <v>2235</v>
      </c>
      <c r="K111" s="17">
        <v>2378</v>
      </c>
      <c r="L111" s="18">
        <v>2516</v>
      </c>
    </row>
    <row r="112" spans="2:12" ht="12.75">
      <c r="B112" s="14">
        <v>6101</v>
      </c>
      <c r="C112" s="17">
        <v>864</v>
      </c>
      <c r="D112" s="17">
        <v>1242</v>
      </c>
      <c r="E112" s="17">
        <v>1453</v>
      </c>
      <c r="F112" s="17">
        <v>1623</v>
      </c>
      <c r="G112" s="17">
        <v>1785</v>
      </c>
      <c r="H112" s="17">
        <v>1941</v>
      </c>
      <c r="I112" s="17">
        <v>2092</v>
      </c>
      <c r="J112" s="17">
        <v>2238</v>
      </c>
      <c r="K112" s="17">
        <v>2382</v>
      </c>
      <c r="L112" s="18">
        <v>2520</v>
      </c>
    </row>
    <row r="113" spans="2:12" ht="12.75">
      <c r="B113" s="14">
        <v>6151</v>
      </c>
      <c r="C113" s="17">
        <v>866</v>
      </c>
      <c r="D113" s="17">
        <v>1244</v>
      </c>
      <c r="E113" s="17">
        <v>1455</v>
      </c>
      <c r="F113" s="17">
        <v>1626</v>
      </c>
      <c r="G113" s="17">
        <v>1788</v>
      </c>
      <c r="H113" s="17">
        <v>1944</v>
      </c>
      <c r="I113" s="17">
        <v>2095</v>
      </c>
      <c r="J113" s="17">
        <v>2242</v>
      </c>
      <c r="K113" s="17">
        <v>2386</v>
      </c>
      <c r="L113" s="18">
        <v>2524</v>
      </c>
    </row>
    <row r="114" spans="2:12" ht="12.75">
      <c r="B114" s="14">
        <v>6201</v>
      </c>
      <c r="C114" s="17">
        <v>868</v>
      </c>
      <c r="D114" s="17">
        <v>1247</v>
      </c>
      <c r="E114" s="17">
        <v>1458</v>
      </c>
      <c r="F114" s="17">
        <v>1628</v>
      </c>
      <c r="G114" s="17">
        <v>1791</v>
      </c>
      <c r="H114" s="17">
        <v>1947</v>
      </c>
      <c r="I114" s="17">
        <v>2099</v>
      </c>
      <c r="J114" s="17">
        <v>2246</v>
      </c>
      <c r="K114" s="17">
        <v>2389</v>
      </c>
      <c r="L114" s="18">
        <v>2528</v>
      </c>
    </row>
    <row r="115" spans="2:12" ht="12.75">
      <c r="B115" s="14">
        <v>6251</v>
      </c>
      <c r="C115" s="17">
        <v>870</v>
      </c>
      <c r="D115" s="17">
        <v>1250</v>
      </c>
      <c r="E115" s="17">
        <v>1460</v>
      </c>
      <c r="F115" s="17">
        <v>1631</v>
      </c>
      <c r="G115" s="17">
        <v>1794</v>
      </c>
      <c r="H115" s="17">
        <v>1950</v>
      </c>
      <c r="I115" s="17">
        <v>2102</v>
      </c>
      <c r="J115" s="17">
        <v>2249</v>
      </c>
      <c r="K115" s="17">
        <v>2393</v>
      </c>
      <c r="L115" s="18">
        <v>2532</v>
      </c>
    </row>
    <row r="116" spans="2:12" ht="12.75">
      <c r="B116" s="14">
        <v>6301</v>
      </c>
      <c r="C116" s="17">
        <v>872</v>
      </c>
      <c r="D116" s="17">
        <v>1252</v>
      </c>
      <c r="E116" s="17">
        <v>1462</v>
      </c>
      <c r="F116" s="17">
        <v>1633</v>
      </c>
      <c r="G116" s="17">
        <v>1797</v>
      </c>
      <c r="H116" s="17">
        <v>1953</v>
      </c>
      <c r="I116" s="17">
        <v>2106</v>
      </c>
      <c r="J116" s="17">
        <v>2253</v>
      </c>
      <c r="K116" s="17">
        <v>2397</v>
      </c>
      <c r="L116" s="18">
        <v>2536</v>
      </c>
    </row>
    <row r="117" spans="2:12" ht="12.75">
      <c r="B117" s="14">
        <v>6351</v>
      </c>
      <c r="C117" s="17">
        <v>874</v>
      </c>
      <c r="D117" s="17">
        <v>1255</v>
      </c>
      <c r="E117" s="17">
        <v>1465</v>
      </c>
      <c r="F117" s="17">
        <v>1636</v>
      </c>
      <c r="G117" s="17">
        <v>1800</v>
      </c>
      <c r="H117" s="17">
        <v>1956</v>
      </c>
      <c r="I117" s="17">
        <v>2109</v>
      </c>
      <c r="J117" s="17">
        <v>2257</v>
      </c>
      <c r="K117" s="17">
        <v>2401</v>
      </c>
      <c r="L117" s="18">
        <v>2540</v>
      </c>
    </row>
    <row r="118" spans="2:12" ht="12.75">
      <c r="B118" s="14">
        <v>6401</v>
      </c>
      <c r="C118" s="17">
        <v>876</v>
      </c>
      <c r="D118" s="17">
        <v>1257</v>
      </c>
      <c r="E118" s="17">
        <v>1467</v>
      </c>
      <c r="F118" s="17">
        <v>1639</v>
      </c>
      <c r="G118" s="17">
        <v>1803</v>
      </c>
      <c r="H118" s="17">
        <v>1959</v>
      </c>
      <c r="I118" s="17">
        <v>2112</v>
      </c>
      <c r="J118" s="17">
        <v>2260</v>
      </c>
      <c r="K118" s="17">
        <v>2405</v>
      </c>
      <c r="L118" s="18">
        <v>2544</v>
      </c>
    </row>
    <row r="119" spans="2:12" ht="12.75">
      <c r="B119" s="14">
        <v>6451</v>
      </c>
      <c r="C119" s="17">
        <v>878</v>
      </c>
      <c r="D119" s="17">
        <v>1260</v>
      </c>
      <c r="E119" s="17">
        <v>1469</v>
      </c>
      <c r="F119" s="17">
        <v>1641</v>
      </c>
      <c r="G119" s="17">
        <v>1806</v>
      </c>
      <c r="H119" s="17">
        <v>1963</v>
      </c>
      <c r="I119" s="17">
        <v>2116</v>
      </c>
      <c r="J119" s="17">
        <v>2264</v>
      </c>
      <c r="K119" s="17">
        <v>2409</v>
      </c>
      <c r="L119" s="18">
        <v>2548</v>
      </c>
    </row>
    <row r="120" spans="2:12" ht="12.75">
      <c r="B120" s="14">
        <v>6501</v>
      </c>
      <c r="C120" s="17">
        <v>880</v>
      </c>
      <c r="D120" s="17">
        <v>1262</v>
      </c>
      <c r="E120" s="17">
        <v>1472</v>
      </c>
      <c r="F120" s="17">
        <v>1644</v>
      </c>
      <c r="G120" s="17">
        <v>1808</v>
      </c>
      <c r="H120" s="17">
        <v>1966</v>
      </c>
      <c r="I120" s="17">
        <v>2119</v>
      </c>
      <c r="J120" s="17">
        <v>2267</v>
      </c>
      <c r="K120" s="17">
        <v>2413</v>
      </c>
      <c r="L120" s="18">
        <v>2552</v>
      </c>
    </row>
    <row r="121" spans="2:12" ht="12.75">
      <c r="B121" s="14">
        <v>6551</v>
      </c>
      <c r="C121" s="17">
        <v>883</v>
      </c>
      <c r="D121" s="17">
        <v>1265</v>
      </c>
      <c r="E121" s="17">
        <v>1474</v>
      </c>
      <c r="F121" s="17">
        <v>1647</v>
      </c>
      <c r="G121" s="17">
        <v>1811</v>
      </c>
      <c r="H121" s="17">
        <v>1969</v>
      </c>
      <c r="I121" s="17">
        <v>2122</v>
      </c>
      <c r="J121" s="17">
        <v>2271</v>
      </c>
      <c r="K121" s="17">
        <v>2416</v>
      </c>
      <c r="L121" s="18">
        <v>2557</v>
      </c>
    </row>
    <row r="122" spans="2:12" ht="12.75">
      <c r="B122" s="14">
        <v>6601</v>
      </c>
      <c r="C122" s="17">
        <v>885</v>
      </c>
      <c r="D122" s="17">
        <v>1267</v>
      </c>
      <c r="E122" s="17">
        <v>1477</v>
      </c>
      <c r="F122" s="17">
        <v>1649</v>
      </c>
      <c r="G122" s="17">
        <v>1814</v>
      </c>
      <c r="H122" s="17">
        <v>1972</v>
      </c>
      <c r="I122" s="17">
        <v>2126</v>
      </c>
      <c r="J122" s="17">
        <v>2275</v>
      </c>
      <c r="K122" s="17">
        <v>2420</v>
      </c>
      <c r="L122" s="18">
        <v>2561</v>
      </c>
    </row>
    <row r="123" spans="2:12" ht="12.75">
      <c r="B123" s="14">
        <v>6651</v>
      </c>
      <c r="C123" s="17">
        <v>887</v>
      </c>
      <c r="D123" s="17">
        <v>1270</v>
      </c>
      <c r="E123" s="17">
        <v>1479</v>
      </c>
      <c r="F123" s="17">
        <v>1652</v>
      </c>
      <c r="G123" s="17">
        <v>1817</v>
      </c>
      <c r="H123" s="17">
        <v>1975</v>
      </c>
      <c r="I123" s="17">
        <v>2129</v>
      </c>
      <c r="J123" s="17">
        <v>2278</v>
      </c>
      <c r="K123" s="17">
        <v>2424</v>
      </c>
      <c r="L123" s="18">
        <v>2565</v>
      </c>
    </row>
    <row r="124" spans="2:12" ht="12.75">
      <c r="B124" s="14">
        <v>6701</v>
      </c>
      <c r="C124" s="17">
        <v>889</v>
      </c>
      <c r="D124" s="17">
        <v>1273</v>
      </c>
      <c r="E124" s="17">
        <v>1482</v>
      </c>
      <c r="F124" s="17">
        <v>1655</v>
      </c>
      <c r="G124" s="17">
        <v>1821</v>
      </c>
      <c r="H124" s="17">
        <v>1979</v>
      </c>
      <c r="I124" s="17">
        <v>2134</v>
      </c>
      <c r="J124" s="17">
        <v>2283</v>
      </c>
      <c r="K124" s="17">
        <v>2429</v>
      </c>
      <c r="L124" s="18">
        <v>2570</v>
      </c>
    </row>
    <row r="125" spans="2:12" ht="12.75">
      <c r="B125" s="14">
        <v>6751</v>
      </c>
      <c r="C125" s="17">
        <v>891</v>
      </c>
      <c r="D125" s="17">
        <v>1276</v>
      </c>
      <c r="E125" s="17">
        <v>1486</v>
      </c>
      <c r="F125" s="17">
        <v>1660</v>
      </c>
      <c r="G125" s="17">
        <v>1826</v>
      </c>
      <c r="H125" s="17">
        <v>1985</v>
      </c>
      <c r="I125" s="17">
        <v>2140</v>
      </c>
      <c r="J125" s="17">
        <v>2289</v>
      </c>
      <c r="K125" s="17">
        <v>2436</v>
      </c>
      <c r="L125" s="18">
        <v>2577</v>
      </c>
    </row>
    <row r="126" spans="2:12" ht="12.75">
      <c r="B126" s="14">
        <v>6801</v>
      </c>
      <c r="C126" s="17">
        <v>894</v>
      </c>
      <c r="D126" s="17">
        <v>1280</v>
      </c>
      <c r="E126" s="17">
        <v>1490</v>
      </c>
      <c r="F126" s="17">
        <v>1664</v>
      </c>
      <c r="G126" s="17">
        <v>1831</v>
      </c>
      <c r="H126" s="17">
        <v>1990</v>
      </c>
      <c r="I126" s="17">
        <v>2145</v>
      </c>
      <c r="J126" s="17">
        <v>2296</v>
      </c>
      <c r="K126" s="17">
        <v>2442</v>
      </c>
      <c r="L126" s="18">
        <v>2584</v>
      </c>
    </row>
    <row r="127" spans="2:12" ht="12.75">
      <c r="B127" s="14">
        <v>6851</v>
      </c>
      <c r="C127" s="17">
        <v>896</v>
      </c>
      <c r="D127" s="17">
        <v>1283</v>
      </c>
      <c r="E127" s="17">
        <v>1494</v>
      </c>
      <c r="F127" s="17">
        <v>1669</v>
      </c>
      <c r="G127" s="17">
        <v>1836</v>
      </c>
      <c r="H127" s="17">
        <v>1995</v>
      </c>
      <c r="I127" s="17">
        <v>2151</v>
      </c>
      <c r="J127" s="17">
        <v>2302</v>
      </c>
      <c r="K127" s="17">
        <v>2449</v>
      </c>
      <c r="L127" s="18">
        <v>2591</v>
      </c>
    </row>
    <row r="128" spans="2:12" ht="12.75">
      <c r="B128" s="14">
        <v>6901</v>
      </c>
      <c r="C128" s="17">
        <v>899</v>
      </c>
      <c r="D128" s="17">
        <v>1287</v>
      </c>
      <c r="E128" s="17">
        <v>1498</v>
      </c>
      <c r="F128" s="17">
        <v>1673</v>
      </c>
      <c r="G128" s="17">
        <v>1841</v>
      </c>
      <c r="H128" s="17">
        <v>2001</v>
      </c>
      <c r="I128" s="17">
        <v>2157</v>
      </c>
      <c r="J128" s="17">
        <v>2308</v>
      </c>
      <c r="K128" s="17">
        <v>2456</v>
      </c>
      <c r="L128" s="18">
        <v>2598</v>
      </c>
    </row>
    <row r="129" spans="2:12" ht="12.75">
      <c r="B129" s="14">
        <v>6951</v>
      </c>
      <c r="C129" s="17">
        <v>902</v>
      </c>
      <c r="D129" s="17">
        <v>1290</v>
      </c>
      <c r="E129" s="17">
        <v>1502</v>
      </c>
      <c r="F129" s="17">
        <v>1678</v>
      </c>
      <c r="G129" s="17">
        <v>1846</v>
      </c>
      <c r="H129" s="17">
        <v>2006</v>
      </c>
      <c r="I129" s="17">
        <v>2163</v>
      </c>
      <c r="J129" s="17">
        <v>2314</v>
      </c>
      <c r="K129" s="17">
        <v>2462</v>
      </c>
      <c r="L129" s="18">
        <v>2605</v>
      </c>
    </row>
    <row r="130" spans="2:12" ht="12.75">
      <c r="B130" s="14">
        <v>7001</v>
      </c>
      <c r="C130" s="17">
        <v>904</v>
      </c>
      <c r="D130" s="17">
        <v>1294</v>
      </c>
      <c r="E130" s="17">
        <v>1506</v>
      </c>
      <c r="F130" s="17">
        <v>1682</v>
      </c>
      <c r="G130" s="17">
        <v>1851</v>
      </c>
      <c r="H130" s="17">
        <v>2012</v>
      </c>
      <c r="I130" s="17">
        <v>2168</v>
      </c>
      <c r="J130" s="17">
        <v>2320</v>
      </c>
      <c r="K130" s="17">
        <v>2469</v>
      </c>
      <c r="L130" s="18">
        <v>2612</v>
      </c>
    </row>
    <row r="131" spans="2:12" ht="12.75">
      <c r="B131" s="14">
        <v>7051</v>
      </c>
      <c r="C131" s="17">
        <v>907</v>
      </c>
      <c r="D131" s="17">
        <v>1297</v>
      </c>
      <c r="E131" s="17">
        <v>1510</v>
      </c>
      <c r="F131" s="17">
        <v>1687</v>
      </c>
      <c r="G131" s="17">
        <v>1856</v>
      </c>
      <c r="H131" s="17">
        <v>2017</v>
      </c>
      <c r="I131" s="17">
        <v>2174</v>
      </c>
      <c r="J131" s="17">
        <v>2326</v>
      </c>
      <c r="K131" s="17">
        <v>2475</v>
      </c>
      <c r="L131" s="18">
        <v>2619</v>
      </c>
    </row>
    <row r="132" spans="2:12" ht="12.75">
      <c r="B132" s="14">
        <v>7101</v>
      </c>
      <c r="C132" s="17">
        <v>909</v>
      </c>
      <c r="D132" s="17">
        <v>1301</v>
      </c>
      <c r="E132" s="17">
        <v>1514</v>
      </c>
      <c r="F132" s="17">
        <v>1691</v>
      </c>
      <c r="G132" s="17">
        <v>1860</v>
      </c>
      <c r="H132" s="17">
        <v>2022</v>
      </c>
      <c r="I132" s="17">
        <v>2180</v>
      </c>
      <c r="J132" s="17">
        <v>2333</v>
      </c>
      <c r="K132" s="17">
        <v>2482</v>
      </c>
      <c r="L132" s="18">
        <v>2626</v>
      </c>
    </row>
    <row r="133" spans="2:12" ht="12.75">
      <c r="B133" s="14">
        <v>7151</v>
      </c>
      <c r="C133" s="17">
        <v>912</v>
      </c>
      <c r="D133" s="17">
        <v>1304</v>
      </c>
      <c r="E133" s="17">
        <v>1518</v>
      </c>
      <c r="F133" s="17">
        <v>1696</v>
      </c>
      <c r="G133" s="17">
        <v>1865</v>
      </c>
      <c r="H133" s="17">
        <v>2028</v>
      </c>
      <c r="I133" s="17">
        <v>2186</v>
      </c>
      <c r="J133" s="17">
        <v>2339</v>
      </c>
      <c r="K133" s="17">
        <v>2489</v>
      </c>
      <c r="L133" s="18">
        <v>2633</v>
      </c>
    </row>
    <row r="134" spans="2:12" ht="12.75">
      <c r="B134" s="14">
        <v>7201</v>
      </c>
      <c r="C134" s="17">
        <v>914</v>
      </c>
      <c r="D134" s="17">
        <v>1308</v>
      </c>
      <c r="E134" s="17">
        <v>1522</v>
      </c>
      <c r="F134" s="17">
        <v>1700</v>
      </c>
      <c r="G134" s="17">
        <v>1870</v>
      </c>
      <c r="H134" s="17">
        <v>2033</v>
      </c>
      <c r="I134" s="17">
        <v>2192</v>
      </c>
      <c r="J134" s="17">
        <v>2345</v>
      </c>
      <c r="K134" s="17">
        <v>2495</v>
      </c>
      <c r="L134" s="18">
        <v>2640</v>
      </c>
    </row>
    <row r="135" spans="2:12" ht="12.75">
      <c r="B135" s="14">
        <v>7251</v>
      </c>
      <c r="C135" s="17">
        <v>917</v>
      </c>
      <c r="D135" s="17">
        <v>1311</v>
      </c>
      <c r="E135" s="17">
        <v>1526</v>
      </c>
      <c r="F135" s="17">
        <v>1705</v>
      </c>
      <c r="G135" s="17">
        <v>1875</v>
      </c>
      <c r="H135" s="17">
        <v>2038</v>
      </c>
      <c r="I135" s="17">
        <v>2197</v>
      </c>
      <c r="J135" s="17">
        <v>2351</v>
      </c>
      <c r="K135" s="17">
        <v>2502</v>
      </c>
      <c r="L135" s="18">
        <v>2647</v>
      </c>
    </row>
    <row r="136" spans="2:12" ht="12.75">
      <c r="B136" s="14">
        <v>7301</v>
      </c>
      <c r="C136" s="17">
        <v>919</v>
      </c>
      <c r="D136" s="17">
        <v>1315</v>
      </c>
      <c r="E136" s="17">
        <v>1530</v>
      </c>
      <c r="F136" s="17">
        <v>1709</v>
      </c>
      <c r="G136" s="17">
        <v>1880</v>
      </c>
      <c r="H136" s="17">
        <v>2044</v>
      </c>
      <c r="I136" s="17">
        <v>2203</v>
      </c>
      <c r="J136" s="17">
        <v>2357</v>
      </c>
      <c r="K136" s="17">
        <v>2508</v>
      </c>
      <c r="L136" s="18">
        <v>2654</v>
      </c>
    </row>
    <row r="137" spans="2:12" ht="12.75">
      <c r="B137" s="14">
        <v>7351</v>
      </c>
      <c r="C137" s="17">
        <v>922</v>
      </c>
      <c r="D137" s="17">
        <v>1318</v>
      </c>
      <c r="E137" s="17">
        <v>1534</v>
      </c>
      <c r="F137" s="17">
        <v>1714</v>
      </c>
      <c r="G137" s="17">
        <v>1885</v>
      </c>
      <c r="H137" s="17">
        <v>2049</v>
      </c>
      <c r="I137" s="17">
        <v>2209</v>
      </c>
      <c r="J137" s="17">
        <v>2364</v>
      </c>
      <c r="K137" s="17">
        <v>2515</v>
      </c>
      <c r="L137" s="18">
        <v>2661</v>
      </c>
    </row>
    <row r="138" spans="2:12" ht="12.75">
      <c r="B138" s="14">
        <v>7401</v>
      </c>
      <c r="C138" s="17">
        <v>924</v>
      </c>
      <c r="D138" s="17">
        <v>1322</v>
      </c>
      <c r="E138" s="17">
        <v>1538</v>
      </c>
      <c r="F138" s="17">
        <v>1718</v>
      </c>
      <c r="G138" s="17">
        <v>1890</v>
      </c>
      <c r="H138" s="17">
        <v>2055</v>
      </c>
      <c r="I138" s="17">
        <v>2215</v>
      </c>
      <c r="J138" s="17">
        <v>2370</v>
      </c>
      <c r="K138" s="17">
        <v>2522</v>
      </c>
      <c r="L138" s="18">
        <v>2668</v>
      </c>
    </row>
    <row r="139" spans="2:12" ht="12.75">
      <c r="B139" s="14">
        <v>7451</v>
      </c>
      <c r="C139" s="17">
        <v>927</v>
      </c>
      <c r="D139" s="17">
        <v>1325</v>
      </c>
      <c r="E139" s="17">
        <v>1542</v>
      </c>
      <c r="F139" s="17">
        <v>1723</v>
      </c>
      <c r="G139" s="17">
        <v>1895</v>
      </c>
      <c r="H139" s="17">
        <v>2060</v>
      </c>
      <c r="I139" s="17">
        <v>2221</v>
      </c>
      <c r="J139" s="17">
        <v>2376</v>
      </c>
      <c r="K139" s="17">
        <v>2528</v>
      </c>
      <c r="L139" s="18">
        <v>2675</v>
      </c>
    </row>
    <row r="140" spans="2:12" ht="12.75">
      <c r="B140" s="14">
        <v>7501</v>
      </c>
      <c r="C140" s="17">
        <v>929</v>
      </c>
      <c r="D140" s="17">
        <v>1329</v>
      </c>
      <c r="E140" s="17">
        <v>1546</v>
      </c>
      <c r="F140" s="17">
        <v>1727</v>
      </c>
      <c r="G140" s="17">
        <v>1900</v>
      </c>
      <c r="H140" s="17">
        <v>2065</v>
      </c>
      <c r="I140" s="17">
        <v>2226</v>
      </c>
      <c r="J140" s="17">
        <v>2382</v>
      </c>
      <c r="K140" s="17">
        <v>2535</v>
      </c>
      <c r="L140" s="18">
        <v>2682</v>
      </c>
    </row>
    <row r="141" spans="2:12" ht="12.75">
      <c r="B141" s="14">
        <v>7551</v>
      </c>
      <c r="C141" s="17">
        <v>932</v>
      </c>
      <c r="D141" s="17">
        <v>1333</v>
      </c>
      <c r="E141" s="17">
        <v>1550</v>
      </c>
      <c r="F141" s="17">
        <v>1732</v>
      </c>
      <c r="G141" s="17">
        <v>1905</v>
      </c>
      <c r="H141" s="17">
        <v>2071</v>
      </c>
      <c r="I141" s="17">
        <v>2232</v>
      </c>
      <c r="J141" s="17">
        <v>2388</v>
      </c>
      <c r="K141" s="17">
        <v>2541</v>
      </c>
      <c r="L141" s="18">
        <v>2689</v>
      </c>
    </row>
    <row r="142" spans="2:12" ht="12.75">
      <c r="B142" s="14">
        <v>7601</v>
      </c>
      <c r="C142" s="17">
        <v>935</v>
      </c>
      <c r="D142" s="17">
        <v>1336</v>
      </c>
      <c r="E142" s="17">
        <v>1554</v>
      </c>
      <c r="F142" s="17">
        <v>1736</v>
      </c>
      <c r="G142" s="17">
        <v>1910</v>
      </c>
      <c r="H142" s="17">
        <v>2076</v>
      </c>
      <c r="I142" s="17">
        <v>2238</v>
      </c>
      <c r="J142" s="17">
        <v>2395</v>
      </c>
      <c r="K142" s="17">
        <v>2548</v>
      </c>
      <c r="L142" s="18">
        <v>2696</v>
      </c>
    </row>
    <row r="143" spans="2:12" ht="12.75">
      <c r="B143" s="14">
        <v>7651</v>
      </c>
      <c r="C143" s="17">
        <v>937</v>
      </c>
      <c r="D143" s="17">
        <v>1340</v>
      </c>
      <c r="E143" s="17">
        <v>1558</v>
      </c>
      <c r="F143" s="17">
        <v>1741</v>
      </c>
      <c r="G143" s="17">
        <v>1915</v>
      </c>
      <c r="H143" s="17">
        <v>2081</v>
      </c>
      <c r="I143" s="17">
        <v>2244</v>
      </c>
      <c r="J143" s="17">
        <v>2401</v>
      </c>
      <c r="K143" s="17">
        <v>2554</v>
      </c>
      <c r="L143" s="18">
        <v>2703</v>
      </c>
    </row>
    <row r="144" spans="2:12" ht="12.75">
      <c r="B144" s="14">
        <v>7701</v>
      </c>
      <c r="C144" s="17">
        <v>940</v>
      </c>
      <c r="D144" s="17">
        <v>1343</v>
      </c>
      <c r="E144" s="17">
        <v>1562</v>
      </c>
      <c r="F144" s="17">
        <v>1745</v>
      </c>
      <c r="G144" s="17">
        <v>1920</v>
      </c>
      <c r="H144" s="17">
        <v>2087</v>
      </c>
      <c r="I144" s="17">
        <v>2250</v>
      </c>
      <c r="J144" s="17">
        <v>2407</v>
      </c>
      <c r="K144" s="17">
        <v>2561</v>
      </c>
      <c r="L144" s="18">
        <v>2710</v>
      </c>
    </row>
    <row r="145" spans="2:12" ht="12.75">
      <c r="B145" s="14">
        <v>7751</v>
      </c>
      <c r="C145" s="17">
        <v>942</v>
      </c>
      <c r="D145" s="17">
        <v>1347</v>
      </c>
      <c r="E145" s="17">
        <v>1566</v>
      </c>
      <c r="F145" s="17">
        <v>1750</v>
      </c>
      <c r="G145" s="17">
        <v>1925</v>
      </c>
      <c r="H145" s="17">
        <v>2092</v>
      </c>
      <c r="I145" s="17">
        <v>2255</v>
      </c>
      <c r="J145" s="17">
        <v>2413</v>
      </c>
      <c r="K145" s="17">
        <v>2568</v>
      </c>
      <c r="L145" s="18">
        <v>2717</v>
      </c>
    </row>
    <row r="146" spans="2:12" ht="12.75">
      <c r="B146" s="14">
        <v>7801</v>
      </c>
      <c r="C146" s="17">
        <v>945</v>
      </c>
      <c r="D146" s="17">
        <v>1350</v>
      </c>
      <c r="E146" s="17">
        <v>1570</v>
      </c>
      <c r="F146" s="17">
        <v>1754</v>
      </c>
      <c r="G146" s="17">
        <v>1930</v>
      </c>
      <c r="H146" s="17">
        <v>2098</v>
      </c>
      <c r="I146" s="17">
        <v>2261</v>
      </c>
      <c r="J146" s="17">
        <v>2419</v>
      </c>
      <c r="K146" s="17">
        <v>2574</v>
      </c>
      <c r="L146" s="18">
        <v>2724</v>
      </c>
    </row>
    <row r="147" spans="2:12" ht="12.75">
      <c r="B147" s="14">
        <v>7851</v>
      </c>
      <c r="C147" s="17">
        <v>948</v>
      </c>
      <c r="D147" s="17">
        <v>1354</v>
      </c>
      <c r="E147" s="17">
        <v>1575</v>
      </c>
      <c r="F147" s="17">
        <v>1760</v>
      </c>
      <c r="G147" s="17">
        <v>1936</v>
      </c>
      <c r="H147" s="17">
        <v>2104</v>
      </c>
      <c r="I147" s="17">
        <v>2268</v>
      </c>
      <c r="J147" s="17">
        <v>2427</v>
      </c>
      <c r="K147" s="17">
        <v>2582</v>
      </c>
      <c r="L147" s="18">
        <v>2732</v>
      </c>
    </row>
    <row r="148" spans="2:12" ht="12.75">
      <c r="B148" s="14">
        <v>7901</v>
      </c>
      <c r="C148" s="17">
        <v>951</v>
      </c>
      <c r="D148" s="17">
        <v>1359</v>
      </c>
      <c r="E148" s="17">
        <v>1580</v>
      </c>
      <c r="F148" s="17">
        <v>1765</v>
      </c>
      <c r="G148" s="17">
        <v>1942</v>
      </c>
      <c r="H148" s="17">
        <v>2111</v>
      </c>
      <c r="I148" s="17">
        <v>2275</v>
      </c>
      <c r="J148" s="17">
        <v>2434</v>
      </c>
      <c r="K148" s="17">
        <v>2590</v>
      </c>
      <c r="L148" s="18">
        <v>2740</v>
      </c>
    </row>
    <row r="149" spans="2:12" ht="12.75">
      <c r="B149" s="14">
        <v>7951</v>
      </c>
      <c r="C149" s="17">
        <v>954</v>
      </c>
      <c r="D149" s="17">
        <v>1363</v>
      </c>
      <c r="E149" s="17">
        <v>1585</v>
      </c>
      <c r="F149" s="17">
        <v>1771</v>
      </c>
      <c r="G149" s="17">
        <v>1948</v>
      </c>
      <c r="H149" s="17">
        <v>2117</v>
      </c>
      <c r="I149" s="17">
        <v>2282</v>
      </c>
      <c r="J149" s="17">
        <v>2442</v>
      </c>
      <c r="K149" s="17">
        <v>2598</v>
      </c>
      <c r="L149" s="18">
        <v>2749</v>
      </c>
    </row>
    <row r="150" spans="2:12" ht="12.75">
      <c r="B150" s="14">
        <v>8001</v>
      </c>
      <c r="C150" s="17">
        <v>958</v>
      </c>
      <c r="D150" s="17">
        <v>1368</v>
      </c>
      <c r="E150" s="17">
        <v>1590</v>
      </c>
      <c r="F150" s="17">
        <v>1776</v>
      </c>
      <c r="G150" s="17">
        <v>1954</v>
      </c>
      <c r="H150" s="17">
        <v>2124</v>
      </c>
      <c r="I150" s="17">
        <v>2290</v>
      </c>
      <c r="J150" s="17">
        <v>2450</v>
      </c>
      <c r="K150" s="17">
        <v>2607</v>
      </c>
      <c r="L150" s="18">
        <v>2758</v>
      </c>
    </row>
    <row r="151" spans="2:12" ht="12.75">
      <c r="B151" s="14">
        <v>8051</v>
      </c>
      <c r="C151" s="17">
        <v>961</v>
      </c>
      <c r="D151" s="17">
        <v>1372</v>
      </c>
      <c r="E151" s="17">
        <v>1595</v>
      </c>
      <c r="F151" s="17">
        <v>1782</v>
      </c>
      <c r="G151" s="17">
        <v>1960</v>
      </c>
      <c r="H151" s="17">
        <v>2131</v>
      </c>
      <c r="I151" s="17">
        <v>2297</v>
      </c>
      <c r="J151" s="17">
        <v>2457</v>
      </c>
      <c r="K151" s="17">
        <v>2615</v>
      </c>
      <c r="L151" s="18">
        <v>2766</v>
      </c>
    </row>
    <row r="152" spans="2:12" ht="12.75">
      <c r="B152" s="14">
        <v>8101</v>
      </c>
      <c r="C152" s="17">
        <v>964</v>
      </c>
      <c r="D152" s="17">
        <v>1377</v>
      </c>
      <c r="E152" s="17">
        <v>1600</v>
      </c>
      <c r="F152" s="17">
        <v>1787</v>
      </c>
      <c r="G152" s="17">
        <v>1966</v>
      </c>
      <c r="H152" s="17">
        <v>2137</v>
      </c>
      <c r="I152" s="17">
        <v>2304</v>
      </c>
      <c r="J152" s="17">
        <v>2465</v>
      </c>
      <c r="K152" s="17">
        <v>2623</v>
      </c>
      <c r="L152" s="18">
        <v>2775</v>
      </c>
    </row>
    <row r="153" spans="2:12" ht="12.75">
      <c r="B153" s="14">
        <v>8151</v>
      </c>
      <c r="C153" s="17">
        <v>967</v>
      </c>
      <c r="D153" s="17">
        <v>1381</v>
      </c>
      <c r="E153" s="17">
        <v>1605</v>
      </c>
      <c r="F153" s="17">
        <v>1793</v>
      </c>
      <c r="G153" s="17">
        <v>1972</v>
      </c>
      <c r="H153" s="17">
        <v>2144</v>
      </c>
      <c r="I153" s="17">
        <v>2311</v>
      </c>
      <c r="J153" s="17">
        <v>2473</v>
      </c>
      <c r="K153" s="17">
        <v>2631</v>
      </c>
      <c r="L153" s="18">
        <v>2784</v>
      </c>
    </row>
    <row r="154" spans="2:12" ht="12.75">
      <c r="B154" s="14">
        <v>8201</v>
      </c>
      <c r="C154" s="17">
        <v>971</v>
      </c>
      <c r="D154" s="17">
        <v>1386</v>
      </c>
      <c r="E154" s="17">
        <v>1610</v>
      </c>
      <c r="F154" s="17">
        <v>1799</v>
      </c>
      <c r="G154" s="17">
        <v>1978</v>
      </c>
      <c r="H154" s="17">
        <v>2150</v>
      </c>
      <c r="I154" s="17">
        <v>2318</v>
      </c>
      <c r="J154" s="17">
        <v>2481</v>
      </c>
      <c r="K154" s="17">
        <v>2639</v>
      </c>
      <c r="L154" s="18">
        <v>2792</v>
      </c>
    </row>
    <row r="155" spans="2:12" ht="12.75">
      <c r="B155" s="14">
        <v>8251</v>
      </c>
      <c r="C155" s="17">
        <v>974</v>
      </c>
      <c r="D155" s="17">
        <v>1390</v>
      </c>
      <c r="E155" s="17">
        <v>1615</v>
      </c>
      <c r="F155" s="17">
        <v>1804</v>
      </c>
      <c r="G155" s="17">
        <v>1984</v>
      </c>
      <c r="H155" s="17">
        <v>2157</v>
      </c>
      <c r="I155" s="17">
        <v>2325</v>
      </c>
      <c r="J155" s="17">
        <v>2488</v>
      </c>
      <c r="K155" s="17">
        <v>2647</v>
      </c>
      <c r="L155" s="18">
        <v>2801</v>
      </c>
    </row>
    <row r="156" spans="2:12" ht="12.75">
      <c r="B156" s="14">
        <v>8301</v>
      </c>
      <c r="C156" s="17">
        <v>977</v>
      </c>
      <c r="D156" s="17">
        <v>1395</v>
      </c>
      <c r="E156" s="17">
        <v>1620</v>
      </c>
      <c r="F156" s="17">
        <v>1810</v>
      </c>
      <c r="G156" s="17">
        <v>1991</v>
      </c>
      <c r="H156" s="17">
        <v>2164</v>
      </c>
      <c r="I156" s="17">
        <v>2333</v>
      </c>
      <c r="J156" s="17">
        <v>2496</v>
      </c>
      <c r="K156" s="17">
        <v>2656</v>
      </c>
      <c r="L156" s="18">
        <v>2810</v>
      </c>
    </row>
    <row r="157" spans="2:12" ht="12.75">
      <c r="B157" s="14">
        <v>8351</v>
      </c>
      <c r="C157" s="17">
        <v>981</v>
      </c>
      <c r="D157" s="17">
        <v>1399</v>
      </c>
      <c r="E157" s="17">
        <v>1625</v>
      </c>
      <c r="F157" s="17">
        <v>1815</v>
      </c>
      <c r="G157" s="17">
        <v>1997</v>
      </c>
      <c r="H157" s="17">
        <v>2170</v>
      </c>
      <c r="I157" s="17">
        <v>2340</v>
      </c>
      <c r="J157" s="17">
        <v>2504</v>
      </c>
      <c r="K157" s="17">
        <v>2664</v>
      </c>
      <c r="L157" s="18">
        <v>2818</v>
      </c>
    </row>
    <row r="158" spans="2:12" ht="12.75">
      <c r="B158" s="14">
        <v>8401</v>
      </c>
      <c r="C158" s="17">
        <v>984</v>
      </c>
      <c r="D158" s="17">
        <v>1404</v>
      </c>
      <c r="E158" s="17">
        <v>1630</v>
      </c>
      <c r="F158" s="17">
        <v>1821</v>
      </c>
      <c r="G158" s="17">
        <v>2003</v>
      </c>
      <c r="H158" s="17">
        <v>2177</v>
      </c>
      <c r="I158" s="17">
        <v>2347</v>
      </c>
      <c r="J158" s="17">
        <v>2511</v>
      </c>
      <c r="K158" s="17">
        <v>2672</v>
      </c>
      <c r="L158" s="18">
        <v>2827</v>
      </c>
    </row>
    <row r="159" spans="2:12" ht="12.75">
      <c r="B159" s="14">
        <v>8451</v>
      </c>
      <c r="C159" s="17">
        <v>987</v>
      </c>
      <c r="D159" s="17">
        <v>1408</v>
      </c>
      <c r="E159" s="17">
        <v>1635</v>
      </c>
      <c r="F159" s="17">
        <v>1826</v>
      </c>
      <c r="G159" s="17">
        <v>2009</v>
      </c>
      <c r="H159" s="17">
        <v>2184</v>
      </c>
      <c r="I159" s="17">
        <v>2354</v>
      </c>
      <c r="J159" s="17">
        <v>2519</v>
      </c>
      <c r="K159" s="17">
        <v>2680</v>
      </c>
      <c r="L159" s="18">
        <v>2836</v>
      </c>
    </row>
    <row r="160" spans="2:12" ht="12.75">
      <c r="B160" s="14">
        <v>8501</v>
      </c>
      <c r="C160" s="17">
        <v>990</v>
      </c>
      <c r="D160" s="17">
        <v>1413</v>
      </c>
      <c r="E160" s="17">
        <v>1640</v>
      </c>
      <c r="F160" s="17">
        <v>1832</v>
      </c>
      <c r="G160" s="17">
        <v>2015</v>
      </c>
      <c r="H160" s="17">
        <v>2190</v>
      </c>
      <c r="I160" s="17">
        <v>2361</v>
      </c>
      <c r="J160" s="17">
        <v>2527</v>
      </c>
      <c r="K160" s="17">
        <v>2688</v>
      </c>
      <c r="L160" s="18">
        <v>2844</v>
      </c>
    </row>
    <row r="161" spans="2:12" ht="12.75">
      <c r="B161" s="14">
        <v>8551</v>
      </c>
      <c r="C161" s="17">
        <v>994</v>
      </c>
      <c r="D161" s="17">
        <v>1417</v>
      </c>
      <c r="E161" s="17">
        <v>1645</v>
      </c>
      <c r="F161" s="17">
        <v>1837</v>
      </c>
      <c r="G161" s="17">
        <v>2021</v>
      </c>
      <c r="H161" s="17">
        <v>2197</v>
      </c>
      <c r="I161" s="17">
        <v>2368</v>
      </c>
      <c r="J161" s="17">
        <v>2534</v>
      </c>
      <c r="K161" s="17">
        <v>2696</v>
      </c>
      <c r="L161" s="18">
        <v>2853</v>
      </c>
    </row>
    <row r="162" spans="2:12" ht="12.75">
      <c r="B162" s="14">
        <v>8601</v>
      </c>
      <c r="C162" s="17">
        <v>997</v>
      </c>
      <c r="D162" s="17">
        <v>1422</v>
      </c>
      <c r="E162" s="17">
        <v>1650</v>
      </c>
      <c r="F162" s="17">
        <v>1843</v>
      </c>
      <c r="G162" s="17">
        <v>2027</v>
      </c>
      <c r="H162" s="17">
        <v>2204</v>
      </c>
      <c r="I162" s="17">
        <v>2376</v>
      </c>
      <c r="J162" s="17">
        <v>2542</v>
      </c>
      <c r="K162" s="17">
        <v>2705</v>
      </c>
      <c r="L162" s="18">
        <v>2861</v>
      </c>
    </row>
    <row r="163" spans="2:12" ht="12.75">
      <c r="B163" s="14">
        <v>8651</v>
      </c>
      <c r="C163" s="17">
        <v>1000</v>
      </c>
      <c r="D163" s="17">
        <v>1426</v>
      </c>
      <c r="E163" s="17">
        <v>1655</v>
      </c>
      <c r="F163" s="17">
        <v>1849</v>
      </c>
      <c r="G163" s="17">
        <v>2033</v>
      </c>
      <c r="H163" s="17">
        <v>2210</v>
      </c>
      <c r="I163" s="17">
        <v>2383</v>
      </c>
      <c r="J163" s="17">
        <v>2550</v>
      </c>
      <c r="K163" s="17">
        <v>2713</v>
      </c>
      <c r="L163" s="18">
        <v>2870</v>
      </c>
    </row>
    <row r="164" spans="2:12" ht="12.75">
      <c r="B164" s="14">
        <v>8701</v>
      </c>
      <c r="C164" s="17">
        <v>1004</v>
      </c>
      <c r="D164" s="17">
        <v>1431</v>
      </c>
      <c r="E164" s="17">
        <v>1660</v>
      </c>
      <c r="F164" s="17">
        <v>1854</v>
      </c>
      <c r="G164" s="17">
        <v>2040</v>
      </c>
      <c r="H164" s="17">
        <v>2217</v>
      </c>
      <c r="I164" s="17">
        <v>2390</v>
      </c>
      <c r="J164" s="17">
        <v>2557</v>
      </c>
      <c r="K164" s="17">
        <v>2721</v>
      </c>
      <c r="L164" s="18">
        <v>2879</v>
      </c>
    </row>
    <row r="165" spans="2:12" ht="12.75">
      <c r="B165" s="14">
        <v>8751</v>
      </c>
      <c r="C165" s="17">
        <v>1007</v>
      </c>
      <c r="D165" s="17">
        <v>1435</v>
      </c>
      <c r="E165" s="17">
        <v>1665</v>
      </c>
      <c r="F165" s="17">
        <v>1860</v>
      </c>
      <c r="G165" s="17">
        <v>2046</v>
      </c>
      <c r="H165" s="17">
        <v>2224</v>
      </c>
      <c r="I165" s="17">
        <v>2397</v>
      </c>
      <c r="J165" s="17">
        <v>2565</v>
      </c>
      <c r="K165" s="17">
        <v>2729</v>
      </c>
      <c r="L165" s="18">
        <v>2887</v>
      </c>
    </row>
    <row r="166" spans="2:12" ht="12.75">
      <c r="B166" s="14">
        <v>8801</v>
      </c>
      <c r="C166" s="17">
        <v>1010</v>
      </c>
      <c r="D166" s="17">
        <v>1440</v>
      </c>
      <c r="E166" s="17">
        <v>1670</v>
      </c>
      <c r="F166" s="17">
        <v>1865</v>
      </c>
      <c r="G166" s="17">
        <v>2052</v>
      </c>
      <c r="H166" s="17">
        <v>2230</v>
      </c>
      <c r="I166" s="17">
        <v>2404</v>
      </c>
      <c r="J166" s="17">
        <v>2573</v>
      </c>
      <c r="K166" s="17">
        <v>2737</v>
      </c>
      <c r="L166" s="18">
        <v>2896</v>
      </c>
    </row>
    <row r="167" spans="2:12" ht="12.75">
      <c r="B167" s="14">
        <v>8851</v>
      </c>
      <c r="C167" s="17">
        <v>1013</v>
      </c>
      <c r="D167" s="17">
        <v>1444</v>
      </c>
      <c r="E167" s="17">
        <v>1675</v>
      </c>
      <c r="F167" s="17">
        <v>1871</v>
      </c>
      <c r="G167" s="17">
        <v>2058</v>
      </c>
      <c r="H167" s="17">
        <v>2237</v>
      </c>
      <c r="I167" s="17">
        <v>2412</v>
      </c>
      <c r="J167" s="17">
        <v>2580</v>
      </c>
      <c r="K167" s="17">
        <v>2745</v>
      </c>
      <c r="L167" s="18">
        <v>2905</v>
      </c>
    </row>
    <row r="168" spans="2:12" ht="12.75">
      <c r="B168" s="14">
        <v>8901</v>
      </c>
      <c r="C168" s="17">
        <v>1016</v>
      </c>
      <c r="D168" s="17">
        <v>1449</v>
      </c>
      <c r="E168" s="17">
        <v>1680</v>
      </c>
      <c r="F168" s="17">
        <v>1877</v>
      </c>
      <c r="G168" s="17">
        <v>2064</v>
      </c>
      <c r="H168" s="17">
        <v>2244</v>
      </c>
      <c r="I168" s="17">
        <v>2419</v>
      </c>
      <c r="J168" s="17">
        <v>2588</v>
      </c>
      <c r="K168" s="17">
        <v>2754</v>
      </c>
      <c r="L168" s="18">
        <v>2914</v>
      </c>
    </row>
    <row r="169" spans="2:12" ht="12.75">
      <c r="B169" s="14">
        <v>8951</v>
      </c>
      <c r="C169" s="17">
        <v>1020</v>
      </c>
      <c r="D169" s="17">
        <v>1453</v>
      </c>
      <c r="E169" s="17">
        <v>1685</v>
      </c>
      <c r="F169" s="17">
        <v>1882</v>
      </c>
      <c r="G169" s="17">
        <v>2071</v>
      </c>
      <c r="H169" s="17">
        <v>2251</v>
      </c>
      <c r="I169" s="17">
        <v>2426</v>
      </c>
      <c r="J169" s="17">
        <v>2596</v>
      </c>
      <c r="K169" s="17">
        <v>2762</v>
      </c>
      <c r="L169" s="18">
        <v>2923</v>
      </c>
    </row>
    <row r="170" spans="2:12" ht="12.75">
      <c r="B170" s="14">
        <v>9001</v>
      </c>
      <c r="C170" s="17">
        <v>1023</v>
      </c>
      <c r="D170" s="17">
        <v>1458</v>
      </c>
      <c r="E170" s="17">
        <v>1691</v>
      </c>
      <c r="F170" s="17">
        <v>1888</v>
      </c>
      <c r="G170" s="17">
        <v>2077</v>
      </c>
      <c r="H170" s="17">
        <v>2258</v>
      </c>
      <c r="I170" s="17">
        <v>2434</v>
      </c>
      <c r="J170" s="17">
        <v>2604</v>
      </c>
      <c r="K170" s="17">
        <v>2771</v>
      </c>
      <c r="L170" s="18">
        <v>2932</v>
      </c>
    </row>
    <row r="171" spans="2:12" ht="12.75">
      <c r="B171" s="14">
        <v>9051</v>
      </c>
      <c r="C171" s="17">
        <v>1026</v>
      </c>
      <c r="D171" s="17">
        <v>1462</v>
      </c>
      <c r="E171" s="17">
        <v>1696</v>
      </c>
      <c r="F171" s="17">
        <v>1894</v>
      </c>
      <c r="G171" s="17">
        <v>2084</v>
      </c>
      <c r="H171" s="17">
        <v>2265</v>
      </c>
      <c r="I171" s="17">
        <v>2441</v>
      </c>
      <c r="J171" s="17">
        <v>2612</v>
      </c>
      <c r="K171" s="17">
        <v>2780</v>
      </c>
      <c r="L171" s="18">
        <v>2941</v>
      </c>
    </row>
    <row r="172" spans="2:12" ht="12.75">
      <c r="B172" s="14">
        <v>9101</v>
      </c>
      <c r="C172" s="17">
        <v>1029</v>
      </c>
      <c r="D172" s="17">
        <v>1466</v>
      </c>
      <c r="E172" s="17">
        <v>1701</v>
      </c>
      <c r="F172" s="17">
        <v>1900</v>
      </c>
      <c r="G172" s="17">
        <v>2090</v>
      </c>
      <c r="H172" s="17">
        <v>2272</v>
      </c>
      <c r="I172" s="17">
        <v>2449</v>
      </c>
      <c r="J172" s="17">
        <v>2620</v>
      </c>
      <c r="K172" s="17">
        <v>2788</v>
      </c>
      <c r="L172" s="18">
        <v>2950</v>
      </c>
    </row>
    <row r="173" spans="2:12" ht="12.75">
      <c r="B173" s="14">
        <v>9151</v>
      </c>
      <c r="C173" s="17">
        <v>1032</v>
      </c>
      <c r="D173" s="17">
        <v>1471</v>
      </c>
      <c r="E173" s="17">
        <v>1706</v>
      </c>
      <c r="F173" s="17">
        <v>1906</v>
      </c>
      <c r="G173" s="17">
        <v>2096</v>
      </c>
      <c r="H173" s="17">
        <v>2279</v>
      </c>
      <c r="I173" s="17">
        <v>2456</v>
      </c>
      <c r="J173" s="17">
        <v>2628</v>
      </c>
      <c r="K173" s="17">
        <v>2797</v>
      </c>
      <c r="L173" s="18">
        <v>2959</v>
      </c>
    </row>
    <row r="174" spans="2:12" ht="12.75">
      <c r="B174" s="14">
        <v>9201</v>
      </c>
      <c r="C174" s="17">
        <v>1035</v>
      </c>
      <c r="D174" s="17">
        <v>1475</v>
      </c>
      <c r="E174" s="17">
        <v>1711</v>
      </c>
      <c r="F174" s="17">
        <v>1912</v>
      </c>
      <c r="G174" s="17">
        <v>2103</v>
      </c>
      <c r="H174" s="17">
        <v>2286</v>
      </c>
      <c r="I174" s="17">
        <v>2464</v>
      </c>
      <c r="J174" s="17">
        <v>2636</v>
      </c>
      <c r="K174" s="17">
        <v>2805</v>
      </c>
      <c r="L174" s="18">
        <v>2968</v>
      </c>
    </row>
    <row r="175" spans="2:12" ht="12.75">
      <c r="B175" s="14">
        <v>9251</v>
      </c>
      <c r="C175" s="17">
        <v>1038</v>
      </c>
      <c r="D175" s="17">
        <v>1480</v>
      </c>
      <c r="E175" s="17">
        <v>1717</v>
      </c>
      <c r="F175" s="17">
        <v>1917</v>
      </c>
      <c r="G175" s="17">
        <v>2109</v>
      </c>
      <c r="H175" s="17">
        <v>2293</v>
      </c>
      <c r="I175" s="17">
        <v>2471</v>
      </c>
      <c r="J175" s="17">
        <v>2644</v>
      </c>
      <c r="K175" s="17">
        <v>2814</v>
      </c>
      <c r="L175" s="18">
        <v>2977</v>
      </c>
    </row>
    <row r="176" spans="2:12" ht="12.75">
      <c r="B176" s="14">
        <v>9301</v>
      </c>
      <c r="C176" s="17">
        <v>1042</v>
      </c>
      <c r="D176" s="17">
        <v>1484</v>
      </c>
      <c r="E176" s="17">
        <v>1722</v>
      </c>
      <c r="F176" s="17">
        <v>1923</v>
      </c>
      <c r="G176" s="17">
        <v>2115</v>
      </c>
      <c r="H176" s="17">
        <v>2300</v>
      </c>
      <c r="I176" s="17">
        <v>2479</v>
      </c>
      <c r="J176" s="17">
        <v>2652</v>
      </c>
      <c r="K176" s="17">
        <v>2822</v>
      </c>
      <c r="L176" s="18">
        <v>2986</v>
      </c>
    </row>
    <row r="177" spans="2:12" ht="12.75">
      <c r="B177" s="14">
        <v>9351</v>
      </c>
      <c r="C177" s="17">
        <v>1045</v>
      </c>
      <c r="D177" s="17">
        <v>1489</v>
      </c>
      <c r="E177" s="17">
        <v>1727</v>
      </c>
      <c r="F177" s="17">
        <v>1929</v>
      </c>
      <c r="G177" s="17">
        <v>2122</v>
      </c>
      <c r="H177" s="17">
        <v>2306</v>
      </c>
      <c r="I177" s="17">
        <v>2486</v>
      </c>
      <c r="J177" s="17">
        <v>2660</v>
      </c>
      <c r="K177" s="17">
        <v>2831</v>
      </c>
      <c r="L177" s="18">
        <v>2995</v>
      </c>
    </row>
    <row r="178" spans="2:12" ht="12.75">
      <c r="B178" s="14">
        <v>9401</v>
      </c>
      <c r="C178" s="17">
        <v>1048</v>
      </c>
      <c r="D178" s="17">
        <v>1493</v>
      </c>
      <c r="E178" s="17">
        <v>1732</v>
      </c>
      <c r="F178" s="17">
        <v>1935</v>
      </c>
      <c r="G178" s="17">
        <v>2128</v>
      </c>
      <c r="H178" s="17">
        <v>2313</v>
      </c>
      <c r="I178" s="17">
        <v>2494</v>
      </c>
      <c r="J178" s="17">
        <v>2668</v>
      </c>
      <c r="K178" s="17">
        <v>2839</v>
      </c>
      <c r="L178" s="18">
        <v>3004</v>
      </c>
    </row>
    <row r="179" spans="2:12" ht="12.75">
      <c r="B179" s="14">
        <v>9451</v>
      </c>
      <c r="C179" s="17">
        <v>1051</v>
      </c>
      <c r="D179" s="17">
        <v>1498</v>
      </c>
      <c r="E179" s="17">
        <v>1737</v>
      </c>
      <c r="F179" s="17">
        <v>1941</v>
      </c>
      <c r="G179" s="17">
        <v>2135</v>
      </c>
      <c r="H179" s="17">
        <v>2320</v>
      </c>
      <c r="I179" s="17">
        <v>2501</v>
      </c>
      <c r="J179" s="17">
        <v>2676</v>
      </c>
      <c r="K179" s="17">
        <v>2848</v>
      </c>
      <c r="L179" s="18">
        <v>3013</v>
      </c>
    </row>
    <row r="180" spans="2:12" ht="12.75">
      <c r="B180" s="14">
        <v>9501</v>
      </c>
      <c r="C180" s="17">
        <v>1054</v>
      </c>
      <c r="D180" s="17">
        <v>1502</v>
      </c>
      <c r="E180" s="17">
        <v>1743</v>
      </c>
      <c r="F180" s="17">
        <v>1946</v>
      </c>
      <c r="G180" s="17">
        <v>2141</v>
      </c>
      <c r="H180" s="17">
        <v>2327</v>
      </c>
      <c r="I180" s="17">
        <v>2509</v>
      </c>
      <c r="J180" s="17">
        <v>2684</v>
      </c>
      <c r="K180" s="17">
        <v>2856</v>
      </c>
      <c r="L180" s="18">
        <v>3022</v>
      </c>
    </row>
    <row r="181" spans="2:12" ht="12.75">
      <c r="B181" s="14">
        <v>9551</v>
      </c>
      <c r="C181" s="17">
        <v>1057</v>
      </c>
      <c r="D181" s="17">
        <v>1507</v>
      </c>
      <c r="E181" s="17">
        <v>1748</v>
      </c>
      <c r="F181" s="17">
        <v>1952</v>
      </c>
      <c r="G181" s="17">
        <v>2147</v>
      </c>
      <c r="H181" s="17">
        <v>2334</v>
      </c>
      <c r="I181" s="17">
        <v>2516</v>
      </c>
      <c r="J181" s="17">
        <v>2693</v>
      </c>
      <c r="K181" s="17">
        <v>2865</v>
      </c>
      <c r="L181" s="18">
        <v>3031</v>
      </c>
    </row>
    <row r="182" spans="2:12" ht="12.75">
      <c r="B182" s="14">
        <v>9601</v>
      </c>
      <c r="C182" s="17">
        <v>1060</v>
      </c>
      <c r="D182" s="17">
        <v>1511</v>
      </c>
      <c r="E182" s="17">
        <v>1753</v>
      </c>
      <c r="F182" s="17">
        <v>1958</v>
      </c>
      <c r="G182" s="17">
        <v>2154</v>
      </c>
      <c r="H182" s="17">
        <v>2341</v>
      </c>
      <c r="I182" s="17">
        <v>2524</v>
      </c>
      <c r="J182" s="17">
        <v>2701</v>
      </c>
      <c r="K182" s="17">
        <v>2873</v>
      </c>
      <c r="L182" s="18">
        <v>3040</v>
      </c>
    </row>
    <row r="183" spans="2:12" ht="12.75">
      <c r="B183" s="14">
        <v>9651</v>
      </c>
      <c r="C183" s="17">
        <v>1064</v>
      </c>
      <c r="D183" s="17">
        <v>1516</v>
      </c>
      <c r="E183" s="17">
        <v>1758</v>
      </c>
      <c r="F183" s="17">
        <v>1964</v>
      </c>
      <c r="G183" s="17">
        <v>2160</v>
      </c>
      <c r="H183" s="17">
        <v>2348</v>
      </c>
      <c r="I183" s="17">
        <v>2531</v>
      </c>
      <c r="J183" s="17">
        <v>2709</v>
      </c>
      <c r="K183" s="17">
        <v>2882</v>
      </c>
      <c r="L183" s="18">
        <v>3049</v>
      </c>
    </row>
    <row r="184" spans="2:12" ht="12.75">
      <c r="B184" s="14">
        <v>9701</v>
      </c>
      <c r="C184" s="17">
        <v>1067</v>
      </c>
      <c r="D184" s="17">
        <v>1520</v>
      </c>
      <c r="E184" s="17">
        <v>1763</v>
      </c>
      <c r="F184" s="17">
        <v>1970</v>
      </c>
      <c r="G184" s="17">
        <v>2167</v>
      </c>
      <c r="H184" s="17">
        <v>2355</v>
      </c>
      <c r="I184" s="17">
        <v>2539</v>
      </c>
      <c r="J184" s="17">
        <v>2717</v>
      </c>
      <c r="K184" s="17">
        <v>2890</v>
      </c>
      <c r="L184" s="18">
        <v>3058</v>
      </c>
    </row>
    <row r="185" spans="2:12" ht="12.75">
      <c r="B185" s="14">
        <v>9751</v>
      </c>
      <c r="C185" s="17">
        <v>1070</v>
      </c>
      <c r="D185" s="17">
        <v>1525</v>
      </c>
      <c r="E185" s="17">
        <v>1769</v>
      </c>
      <c r="F185" s="17">
        <v>1975</v>
      </c>
      <c r="G185" s="17">
        <v>2173</v>
      </c>
      <c r="H185" s="17">
        <v>2362</v>
      </c>
      <c r="I185" s="17">
        <v>2546</v>
      </c>
      <c r="J185" s="17">
        <v>2725</v>
      </c>
      <c r="K185" s="17">
        <v>2899</v>
      </c>
      <c r="L185" s="18">
        <v>3067</v>
      </c>
    </row>
    <row r="186" spans="2:12" ht="12.75">
      <c r="B186" s="14">
        <v>9801</v>
      </c>
      <c r="C186" s="17">
        <v>1073</v>
      </c>
      <c r="D186" s="17">
        <v>1529</v>
      </c>
      <c r="E186" s="17">
        <v>1774</v>
      </c>
      <c r="F186" s="17">
        <v>1981</v>
      </c>
      <c r="G186" s="17">
        <v>2179</v>
      </c>
      <c r="H186" s="17">
        <v>2369</v>
      </c>
      <c r="I186" s="17">
        <v>2554</v>
      </c>
      <c r="J186" s="17">
        <v>2733</v>
      </c>
      <c r="K186" s="17">
        <v>2907</v>
      </c>
      <c r="L186" s="18">
        <v>3076</v>
      </c>
    </row>
    <row r="187" spans="2:12" ht="12.75">
      <c r="B187" s="14">
        <v>9851</v>
      </c>
      <c r="C187" s="17">
        <v>1076</v>
      </c>
      <c r="D187" s="17">
        <v>1533</v>
      </c>
      <c r="E187" s="17">
        <v>1779</v>
      </c>
      <c r="F187" s="17">
        <v>1987</v>
      </c>
      <c r="G187" s="17">
        <v>2186</v>
      </c>
      <c r="H187" s="17">
        <v>2376</v>
      </c>
      <c r="I187" s="17">
        <v>2561</v>
      </c>
      <c r="J187" s="17">
        <v>2741</v>
      </c>
      <c r="K187" s="17">
        <v>2916</v>
      </c>
      <c r="L187" s="18">
        <v>3085</v>
      </c>
    </row>
    <row r="188" spans="2:12" ht="12.75">
      <c r="B188" s="14">
        <v>9901</v>
      </c>
      <c r="C188" s="17">
        <v>1079</v>
      </c>
      <c r="D188" s="17">
        <v>1538</v>
      </c>
      <c r="E188" s="17">
        <v>1784</v>
      </c>
      <c r="F188" s="17">
        <v>1993</v>
      </c>
      <c r="G188" s="17">
        <v>2192</v>
      </c>
      <c r="H188" s="17">
        <v>2383</v>
      </c>
      <c r="I188" s="17">
        <v>2569</v>
      </c>
      <c r="J188" s="17">
        <v>2748</v>
      </c>
      <c r="K188" s="17">
        <v>2924</v>
      </c>
      <c r="L188" s="18">
        <v>3094</v>
      </c>
    </row>
    <row r="189" spans="2:12" ht="12.75">
      <c r="B189" s="14">
        <v>9951</v>
      </c>
      <c r="C189" s="17">
        <v>1082</v>
      </c>
      <c r="D189" s="17">
        <v>1542</v>
      </c>
      <c r="E189" s="17">
        <v>1789</v>
      </c>
      <c r="F189" s="17">
        <v>1998</v>
      </c>
      <c r="G189" s="17">
        <v>2198</v>
      </c>
      <c r="H189" s="17">
        <v>2389</v>
      </c>
      <c r="I189" s="17">
        <v>2576</v>
      </c>
      <c r="J189" s="17">
        <v>2756</v>
      </c>
      <c r="K189" s="17">
        <v>2932</v>
      </c>
      <c r="L189" s="18">
        <v>3102</v>
      </c>
    </row>
    <row r="190" spans="2:12" ht="12.75">
      <c r="B190" s="14">
        <v>10001</v>
      </c>
      <c r="C190" s="17">
        <v>1085</v>
      </c>
      <c r="D190" s="17">
        <v>1546</v>
      </c>
      <c r="E190" s="17">
        <v>1794</v>
      </c>
      <c r="F190" s="17">
        <v>2003</v>
      </c>
      <c r="G190" s="17">
        <v>2204</v>
      </c>
      <c r="H190" s="17">
        <v>2396</v>
      </c>
      <c r="I190" s="17">
        <v>2582</v>
      </c>
      <c r="J190" s="17">
        <v>2763</v>
      </c>
      <c r="K190" s="17">
        <v>2940</v>
      </c>
      <c r="L190" s="18">
        <v>3111</v>
      </c>
    </row>
    <row r="191" spans="2:12" ht="12.75">
      <c r="B191" s="14">
        <v>10051</v>
      </c>
      <c r="C191" s="17">
        <v>1089</v>
      </c>
      <c r="D191" s="17">
        <v>1551</v>
      </c>
      <c r="E191" s="17">
        <v>1798</v>
      </c>
      <c r="F191" s="17">
        <v>2009</v>
      </c>
      <c r="G191" s="17">
        <v>2210</v>
      </c>
      <c r="H191" s="17">
        <v>2402</v>
      </c>
      <c r="I191" s="17">
        <v>2589</v>
      </c>
      <c r="J191" s="17">
        <v>2771</v>
      </c>
      <c r="K191" s="17">
        <v>2948</v>
      </c>
      <c r="L191" s="18">
        <v>3119</v>
      </c>
    </row>
    <row r="192" spans="2:12" ht="12.75">
      <c r="B192" s="14">
        <v>10101</v>
      </c>
      <c r="C192" s="17">
        <v>1092</v>
      </c>
      <c r="D192" s="17">
        <v>1555</v>
      </c>
      <c r="E192" s="17">
        <v>1803</v>
      </c>
      <c r="F192" s="17">
        <v>2014</v>
      </c>
      <c r="G192" s="17">
        <v>2216</v>
      </c>
      <c r="H192" s="17">
        <v>2408</v>
      </c>
      <c r="I192" s="17">
        <v>2596</v>
      </c>
      <c r="J192" s="17">
        <v>2778</v>
      </c>
      <c r="K192" s="17">
        <v>2956</v>
      </c>
      <c r="L192" s="18">
        <v>3127</v>
      </c>
    </row>
    <row r="193" spans="2:12" ht="12.75">
      <c r="B193" s="14">
        <v>10151</v>
      </c>
      <c r="C193" s="17">
        <v>1095</v>
      </c>
      <c r="D193" s="17">
        <v>1559</v>
      </c>
      <c r="E193" s="17">
        <v>1808</v>
      </c>
      <c r="F193" s="17">
        <v>2019</v>
      </c>
      <c r="G193" s="17">
        <v>2221</v>
      </c>
      <c r="H193" s="17">
        <v>2415</v>
      </c>
      <c r="I193" s="17">
        <v>2603</v>
      </c>
      <c r="J193" s="17">
        <v>2785</v>
      </c>
      <c r="K193" s="17">
        <v>2964</v>
      </c>
      <c r="L193" s="18">
        <v>3135</v>
      </c>
    </row>
    <row r="194" spans="2:12" ht="12.75">
      <c r="B194" s="14">
        <v>10201</v>
      </c>
      <c r="C194" s="17">
        <v>1098</v>
      </c>
      <c r="D194" s="17">
        <v>1563</v>
      </c>
      <c r="E194" s="17">
        <v>1813</v>
      </c>
      <c r="F194" s="17">
        <v>2025</v>
      </c>
      <c r="G194" s="17">
        <v>2227</v>
      </c>
      <c r="H194" s="17">
        <v>2421</v>
      </c>
      <c r="I194" s="17">
        <v>2610</v>
      </c>
      <c r="J194" s="17">
        <v>2793</v>
      </c>
      <c r="K194" s="17">
        <v>2971</v>
      </c>
      <c r="L194" s="18">
        <v>3144</v>
      </c>
    </row>
    <row r="195" spans="2:12" ht="12.75">
      <c r="B195" s="14">
        <v>10251</v>
      </c>
      <c r="C195" s="17">
        <v>1101</v>
      </c>
      <c r="D195" s="17">
        <v>1568</v>
      </c>
      <c r="E195" s="17">
        <v>1818</v>
      </c>
      <c r="F195" s="17">
        <v>2030</v>
      </c>
      <c r="G195" s="17">
        <v>2233</v>
      </c>
      <c r="H195" s="17">
        <v>2427</v>
      </c>
      <c r="I195" s="17">
        <v>2617</v>
      </c>
      <c r="J195" s="17">
        <v>2800</v>
      </c>
      <c r="K195" s="17">
        <v>2979</v>
      </c>
      <c r="L195" s="18">
        <v>3152</v>
      </c>
    </row>
    <row r="196" spans="2:12" ht="12.75">
      <c r="B196" s="14">
        <v>10301</v>
      </c>
      <c r="C196" s="17">
        <v>1104</v>
      </c>
      <c r="D196" s="17">
        <v>1572</v>
      </c>
      <c r="E196" s="17">
        <v>1822</v>
      </c>
      <c r="F196" s="17">
        <v>2035</v>
      </c>
      <c r="G196" s="17">
        <v>2239</v>
      </c>
      <c r="H196" s="17">
        <v>2434</v>
      </c>
      <c r="I196" s="17">
        <v>2624</v>
      </c>
      <c r="J196" s="17">
        <v>2807</v>
      </c>
      <c r="K196" s="17">
        <v>2987</v>
      </c>
      <c r="L196" s="18">
        <v>3160</v>
      </c>
    </row>
    <row r="197" spans="2:12" ht="12.75">
      <c r="B197" s="14">
        <v>10351</v>
      </c>
      <c r="C197" s="17">
        <v>1107</v>
      </c>
      <c r="D197" s="17">
        <v>1576</v>
      </c>
      <c r="E197" s="17">
        <v>1827</v>
      </c>
      <c r="F197" s="17">
        <v>2041</v>
      </c>
      <c r="G197" s="17">
        <v>2245</v>
      </c>
      <c r="H197" s="17">
        <v>2440</v>
      </c>
      <c r="I197" s="17">
        <v>2631</v>
      </c>
      <c r="J197" s="17">
        <v>2815</v>
      </c>
      <c r="K197" s="17">
        <v>2995</v>
      </c>
      <c r="L197" s="18">
        <v>3169</v>
      </c>
    </row>
    <row r="198" spans="2:12" ht="12.75">
      <c r="B198" s="14">
        <v>10401</v>
      </c>
      <c r="C198" s="17">
        <v>1110</v>
      </c>
      <c r="D198" s="17">
        <v>1581</v>
      </c>
      <c r="E198" s="17">
        <v>1832</v>
      </c>
      <c r="F198" s="17">
        <v>2046</v>
      </c>
      <c r="G198" s="17">
        <v>2251</v>
      </c>
      <c r="H198" s="17">
        <v>2447</v>
      </c>
      <c r="I198" s="17">
        <v>2637</v>
      </c>
      <c r="J198" s="17">
        <v>2822</v>
      </c>
      <c r="K198" s="17">
        <v>3003</v>
      </c>
      <c r="L198" s="18">
        <v>3177</v>
      </c>
    </row>
    <row r="199" spans="2:12" ht="12.75">
      <c r="B199" s="14">
        <v>10451</v>
      </c>
      <c r="C199" s="17">
        <v>1113</v>
      </c>
      <c r="D199" s="17">
        <v>1585</v>
      </c>
      <c r="E199" s="17">
        <v>1837</v>
      </c>
      <c r="F199" s="17">
        <v>2052</v>
      </c>
      <c r="G199" s="17">
        <v>2257</v>
      </c>
      <c r="H199" s="17">
        <v>2453</v>
      </c>
      <c r="I199" s="17">
        <v>2644</v>
      </c>
      <c r="J199" s="17">
        <v>2829</v>
      </c>
      <c r="K199" s="17">
        <v>3011</v>
      </c>
      <c r="L199" s="18">
        <v>3185</v>
      </c>
    </row>
    <row r="200" spans="2:12" ht="12.75">
      <c r="B200" s="14">
        <v>10501</v>
      </c>
      <c r="C200" s="17">
        <v>1116</v>
      </c>
      <c r="D200" s="17">
        <v>1589</v>
      </c>
      <c r="E200" s="17">
        <v>1841</v>
      </c>
      <c r="F200" s="17">
        <v>2057</v>
      </c>
      <c r="G200" s="17">
        <v>2263</v>
      </c>
      <c r="H200" s="17">
        <v>2459</v>
      </c>
      <c r="I200" s="17">
        <v>2651</v>
      </c>
      <c r="J200" s="17">
        <v>2837</v>
      </c>
      <c r="K200" s="17">
        <v>3018</v>
      </c>
      <c r="L200" s="18">
        <v>3193</v>
      </c>
    </row>
    <row r="201" spans="2:12" ht="12.75">
      <c r="B201" s="14">
        <v>10551</v>
      </c>
      <c r="C201" s="17">
        <v>1119</v>
      </c>
      <c r="D201" s="17">
        <v>1593</v>
      </c>
      <c r="E201" s="17">
        <v>1846</v>
      </c>
      <c r="F201" s="17">
        <v>2062</v>
      </c>
      <c r="G201" s="17">
        <v>2268</v>
      </c>
      <c r="H201" s="17">
        <v>2466</v>
      </c>
      <c r="I201" s="17">
        <v>2658</v>
      </c>
      <c r="J201" s="17">
        <v>2844</v>
      </c>
      <c r="K201" s="17">
        <v>3026</v>
      </c>
      <c r="L201" s="18">
        <v>3202</v>
      </c>
    </row>
    <row r="202" spans="2:12" ht="12.75">
      <c r="B202" s="14">
        <v>10601</v>
      </c>
      <c r="C202" s="17">
        <v>1123</v>
      </c>
      <c r="D202" s="17">
        <v>1598</v>
      </c>
      <c r="E202" s="17">
        <v>1851</v>
      </c>
      <c r="F202" s="17">
        <v>2068</v>
      </c>
      <c r="G202" s="17">
        <v>2274</v>
      </c>
      <c r="H202" s="17">
        <v>2472</v>
      </c>
      <c r="I202" s="17">
        <v>2665</v>
      </c>
      <c r="J202" s="17">
        <v>2851</v>
      </c>
      <c r="K202" s="17">
        <v>3034</v>
      </c>
      <c r="L202" s="18">
        <v>3210</v>
      </c>
    </row>
    <row r="203" spans="2:12" ht="12.75">
      <c r="B203" s="14">
        <v>10651</v>
      </c>
      <c r="C203" s="17">
        <v>1126</v>
      </c>
      <c r="D203" s="17">
        <v>1602</v>
      </c>
      <c r="E203" s="17">
        <v>1856</v>
      </c>
      <c r="F203" s="17">
        <v>2073</v>
      </c>
      <c r="G203" s="17">
        <v>2280</v>
      </c>
      <c r="H203" s="17">
        <v>2479</v>
      </c>
      <c r="I203" s="17">
        <v>2672</v>
      </c>
      <c r="J203" s="17">
        <v>2859</v>
      </c>
      <c r="K203" s="17">
        <v>3042</v>
      </c>
      <c r="L203" s="18">
        <v>3218</v>
      </c>
    </row>
    <row r="204" spans="2:12" ht="12.75">
      <c r="B204" s="14">
        <v>10701</v>
      </c>
      <c r="C204" s="17">
        <v>1129</v>
      </c>
      <c r="D204" s="17">
        <v>1606</v>
      </c>
      <c r="E204" s="17">
        <v>1861</v>
      </c>
      <c r="F204" s="17">
        <v>2078</v>
      </c>
      <c r="G204" s="17">
        <v>2286</v>
      </c>
      <c r="H204" s="17">
        <v>2485</v>
      </c>
      <c r="I204" s="17">
        <v>2679</v>
      </c>
      <c r="J204" s="17">
        <v>2866</v>
      </c>
      <c r="K204" s="17">
        <v>3050</v>
      </c>
      <c r="L204" s="18">
        <v>3227</v>
      </c>
    </row>
    <row r="205" spans="2:12" ht="12.75">
      <c r="B205" s="14">
        <v>10751</v>
      </c>
      <c r="C205" s="17">
        <v>1132</v>
      </c>
      <c r="D205" s="17">
        <v>1610</v>
      </c>
      <c r="E205" s="17">
        <v>1865</v>
      </c>
      <c r="F205" s="17">
        <v>2084</v>
      </c>
      <c r="G205" s="17">
        <v>2292</v>
      </c>
      <c r="H205" s="17">
        <v>2491</v>
      </c>
      <c r="I205" s="17">
        <v>2686</v>
      </c>
      <c r="J205" s="17">
        <v>2874</v>
      </c>
      <c r="K205" s="17">
        <v>3057</v>
      </c>
      <c r="L205" s="18">
        <v>3235</v>
      </c>
    </row>
    <row r="206" spans="2:12" ht="12.75">
      <c r="B206" s="14">
        <v>10801</v>
      </c>
      <c r="C206" s="17">
        <v>1135</v>
      </c>
      <c r="D206" s="17">
        <v>1615</v>
      </c>
      <c r="E206" s="17">
        <v>1870</v>
      </c>
      <c r="F206" s="17">
        <v>2089</v>
      </c>
      <c r="G206" s="17">
        <v>2298</v>
      </c>
      <c r="H206" s="17">
        <v>2498</v>
      </c>
      <c r="I206" s="17">
        <v>2692</v>
      </c>
      <c r="J206" s="17">
        <v>2881</v>
      </c>
      <c r="K206" s="17">
        <v>3065</v>
      </c>
      <c r="L206" s="18">
        <v>3243</v>
      </c>
    </row>
    <row r="207" spans="2:12" ht="12.75">
      <c r="B207" s="14">
        <v>10851</v>
      </c>
      <c r="C207" s="17">
        <v>1138</v>
      </c>
      <c r="D207" s="17">
        <v>1619</v>
      </c>
      <c r="E207" s="17">
        <v>1875</v>
      </c>
      <c r="F207" s="17">
        <v>2094</v>
      </c>
      <c r="G207" s="17">
        <v>2304</v>
      </c>
      <c r="H207" s="17">
        <v>2504</v>
      </c>
      <c r="I207" s="17">
        <v>2699</v>
      </c>
      <c r="J207" s="17">
        <v>2888</v>
      </c>
      <c r="K207" s="17">
        <v>3073</v>
      </c>
      <c r="L207" s="18">
        <v>3251</v>
      </c>
    </row>
    <row r="208" spans="2:12" ht="12.75">
      <c r="B208" s="14">
        <v>10901</v>
      </c>
      <c r="C208" s="17">
        <v>1141</v>
      </c>
      <c r="D208" s="17">
        <v>1623</v>
      </c>
      <c r="E208" s="17">
        <v>1880</v>
      </c>
      <c r="F208" s="17">
        <v>2100</v>
      </c>
      <c r="G208" s="17">
        <v>2309</v>
      </c>
      <c r="H208" s="17">
        <v>2510</v>
      </c>
      <c r="I208" s="17">
        <v>2706</v>
      </c>
      <c r="J208" s="17">
        <v>2896</v>
      </c>
      <c r="K208" s="17">
        <v>3081</v>
      </c>
      <c r="L208" s="18">
        <v>3260</v>
      </c>
    </row>
    <row r="209" spans="2:12" ht="12.75">
      <c r="B209" s="14">
        <v>10951</v>
      </c>
      <c r="C209" s="17">
        <v>1144</v>
      </c>
      <c r="D209" s="17">
        <v>1627</v>
      </c>
      <c r="E209" s="17">
        <v>1884</v>
      </c>
      <c r="F209" s="17">
        <v>2105</v>
      </c>
      <c r="G209" s="17">
        <v>2315</v>
      </c>
      <c r="H209" s="17">
        <v>2517</v>
      </c>
      <c r="I209" s="17">
        <v>2713</v>
      </c>
      <c r="J209" s="17">
        <v>2903</v>
      </c>
      <c r="K209" s="17">
        <v>3089</v>
      </c>
      <c r="L209" s="18">
        <v>3268</v>
      </c>
    </row>
    <row r="210" spans="2:12" ht="12.75">
      <c r="B210" s="14">
        <v>11001</v>
      </c>
      <c r="C210" s="17">
        <v>1147</v>
      </c>
      <c r="D210" s="17">
        <v>1632</v>
      </c>
      <c r="E210" s="17">
        <v>1889</v>
      </c>
      <c r="F210" s="17">
        <v>2110</v>
      </c>
      <c r="G210" s="17">
        <v>2321</v>
      </c>
      <c r="H210" s="17">
        <v>2523</v>
      </c>
      <c r="I210" s="17">
        <v>2720</v>
      </c>
      <c r="J210" s="17">
        <v>2910</v>
      </c>
      <c r="K210" s="17">
        <v>3097</v>
      </c>
      <c r="L210" s="18">
        <v>3276</v>
      </c>
    </row>
    <row r="211" spans="2:12" ht="12.75">
      <c r="B211" s="14">
        <v>11051</v>
      </c>
      <c r="C211" s="17">
        <v>1150</v>
      </c>
      <c r="D211" s="17">
        <v>1636</v>
      </c>
      <c r="E211" s="17">
        <v>1894</v>
      </c>
      <c r="F211" s="17">
        <v>2116</v>
      </c>
      <c r="G211" s="17">
        <v>2327</v>
      </c>
      <c r="H211" s="17">
        <v>2530</v>
      </c>
      <c r="I211" s="17">
        <v>2727</v>
      </c>
      <c r="J211" s="17">
        <v>2918</v>
      </c>
      <c r="K211" s="17">
        <v>3104</v>
      </c>
      <c r="L211" s="18">
        <v>3285</v>
      </c>
    </row>
    <row r="212" spans="2:12" ht="12.75">
      <c r="B212" s="14">
        <v>11101</v>
      </c>
      <c r="C212" s="17">
        <v>1154</v>
      </c>
      <c r="D212" s="17">
        <v>1640</v>
      </c>
      <c r="E212" s="17">
        <v>1899</v>
      </c>
      <c r="F212" s="17">
        <v>2121</v>
      </c>
      <c r="G212" s="17">
        <v>2333</v>
      </c>
      <c r="H212" s="17">
        <v>2536</v>
      </c>
      <c r="I212" s="17">
        <v>2734</v>
      </c>
      <c r="J212" s="17">
        <v>2925</v>
      </c>
      <c r="K212" s="17">
        <v>3112</v>
      </c>
      <c r="L212" s="18">
        <v>3293</v>
      </c>
    </row>
    <row r="213" spans="2:12" ht="12.75">
      <c r="B213" s="14">
        <v>11151</v>
      </c>
      <c r="C213" s="17">
        <v>1157</v>
      </c>
      <c r="D213" s="17">
        <v>1644</v>
      </c>
      <c r="E213" s="17">
        <v>1903</v>
      </c>
      <c r="F213" s="17">
        <v>2126</v>
      </c>
      <c r="G213" s="17">
        <v>2339</v>
      </c>
      <c r="H213" s="17">
        <v>2542</v>
      </c>
      <c r="I213" s="17">
        <v>2741</v>
      </c>
      <c r="J213" s="17">
        <v>2932</v>
      </c>
      <c r="K213" s="17">
        <v>3120</v>
      </c>
      <c r="L213" s="18">
        <v>3301</v>
      </c>
    </row>
    <row r="214" spans="2:12" ht="12.75">
      <c r="B214" s="14">
        <v>11201</v>
      </c>
      <c r="C214" s="17">
        <v>1160</v>
      </c>
      <c r="D214" s="17">
        <v>1649</v>
      </c>
      <c r="E214" s="17">
        <v>1908</v>
      </c>
      <c r="F214" s="17">
        <v>2132</v>
      </c>
      <c r="G214" s="17">
        <v>2345</v>
      </c>
      <c r="H214" s="17">
        <v>2549</v>
      </c>
      <c r="I214" s="17">
        <v>2747</v>
      </c>
      <c r="J214" s="17">
        <v>2940</v>
      </c>
      <c r="K214" s="17">
        <v>3128</v>
      </c>
      <c r="L214" s="18">
        <v>3309</v>
      </c>
    </row>
    <row r="215" spans="2:12" ht="12.75">
      <c r="B215" s="14">
        <v>11251</v>
      </c>
      <c r="C215" s="17">
        <v>1163</v>
      </c>
      <c r="D215" s="17">
        <v>1653</v>
      </c>
      <c r="E215" s="17">
        <v>1913</v>
      </c>
      <c r="F215" s="17">
        <v>2137</v>
      </c>
      <c r="G215" s="17">
        <v>2351</v>
      </c>
      <c r="H215" s="17">
        <v>2555</v>
      </c>
      <c r="I215" s="17">
        <v>2754</v>
      </c>
      <c r="J215" s="17">
        <v>2947</v>
      </c>
      <c r="K215" s="17">
        <v>3136</v>
      </c>
      <c r="L215" s="18">
        <v>3318</v>
      </c>
    </row>
    <row r="216" spans="2:12" ht="12.75">
      <c r="B216" s="14">
        <v>11301</v>
      </c>
      <c r="C216" s="17">
        <v>1166</v>
      </c>
      <c r="D216" s="17">
        <v>1657</v>
      </c>
      <c r="E216" s="17">
        <v>1918</v>
      </c>
      <c r="F216" s="17">
        <v>2143</v>
      </c>
      <c r="G216" s="17">
        <v>2357</v>
      </c>
      <c r="H216" s="17">
        <v>2562</v>
      </c>
      <c r="I216" s="17">
        <v>2762</v>
      </c>
      <c r="J216" s="17">
        <v>2955</v>
      </c>
      <c r="K216" s="17">
        <v>3144</v>
      </c>
      <c r="L216" s="18">
        <v>3327</v>
      </c>
    </row>
    <row r="217" spans="2:12" ht="12.75">
      <c r="B217" s="14">
        <v>11351</v>
      </c>
      <c r="C217" s="17">
        <v>1169</v>
      </c>
      <c r="D217" s="17">
        <v>1662</v>
      </c>
      <c r="E217" s="17">
        <v>1924</v>
      </c>
      <c r="F217" s="17">
        <v>2149</v>
      </c>
      <c r="G217" s="17">
        <v>2364</v>
      </c>
      <c r="H217" s="17">
        <v>2569</v>
      </c>
      <c r="I217" s="17">
        <v>2770</v>
      </c>
      <c r="J217" s="17">
        <v>2963</v>
      </c>
      <c r="K217" s="17">
        <v>3153</v>
      </c>
      <c r="L217" s="18">
        <v>3336</v>
      </c>
    </row>
    <row r="218" spans="2:12" ht="12.75">
      <c r="B218" s="14">
        <v>11401</v>
      </c>
      <c r="C218" s="17">
        <v>1172</v>
      </c>
      <c r="D218" s="17">
        <v>1667</v>
      </c>
      <c r="E218" s="17">
        <v>1929</v>
      </c>
      <c r="F218" s="17">
        <v>2155</v>
      </c>
      <c r="G218" s="17">
        <v>2370</v>
      </c>
      <c r="H218" s="17">
        <v>2576</v>
      </c>
      <c r="I218" s="17">
        <v>2777</v>
      </c>
      <c r="J218" s="17">
        <v>2972</v>
      </c>
      <c r="K218" s="17">
        <v>3162</v>
      </c>
      <c r="L218" s="18">
        <v>3345</v>
      </c>
    </row>
    <row r="219" spans="2:12" ht="12.75">
      <c r="B219" s="14">
        <v>11451</v>
      </c>
      <c r="C219" s="17">
        <v>1175</v>
      </c>
      <c r="D219" s="17">
        <v>1671</v>
      </c>
      <c r="E219" s="17">
        <v>1934</v>
      </c>
      <c r="F219" s="17">
        <v>2161</v>
      </c>
      <c r="G219" s="17">
        <v>2377</v>
      </c>
      <c r="H219" s="17">
        <v>2584</v>
      </c>
      <c r="I219" s="17">
        <v>2785</v>
      </c>
      <c r="J219" s="17">
        <v>2980</v>
      </c>
      <c r="K219" s="17">
        <v>3171</v>
      </c>
      <c r="L219" s="18">
        <v>3355</v>
      </c>
    </row>
    <row r="220" spans="2:12" ht="12.75">
      <c r="B220" s="14">
        <v>11501</v>
      </c>
      <c r="C220" s="17">
        <v>1178</v>
      </c>
      <c r="D220" s="17">
        <v>1676</v>
      </c>
      <c r="E220" s="17">
        <v>1940</v>
      </c>
      <c r="F220" s="17">
        <v>2167</v>
      </c>
      <c r="G220" s="17">
        <v>2383</v>
      </c>
      <c r="H220" s="17">
        <v>2591</v>
      </c>
      <c r="I220" s="17">
        <v>2793</v>
      </c>
      <c r="J220" s="17">
        <v>2988</v>
      </c>
      <c r="K220" s="17">
        <v>3180</v>
      </c>
      <c r="L220" s="18">
        <v>3364</v>
      </c>
    </row>
    <row r="221" spans="2:12" ht="12.75">
      <c r="B221" s="14">
        <v>11551</v>
      </c>
      <c r="C221" s="17">
        <v>1182</v>
      </c>
      <c r="D221" s="17">
        <v>1680</v>
      </c>
      <c r="E221" s="17">
        <v>1945</v>
      </c>
      <c r="F221" s="17">
        <v>2173</v>
      </c>
      <c r="G221" s="17">
        <v>2390</v>
      </c>
      <c r="H221" s="17">
        <v>2598</v>
      </c>
      <c r="I221" s="17">
        <v>2801</v>
      </c>
      <c r="J221" s="17">
        <v>2997</v>
      </c>
      <c r="K221" s="17">
        <v>3188</v>
      </c>
      <c r="L221" s="18">
        <v>3373</v>
      </c>
    </row>
    <row r="222" spans="2:12" ht="12.75">
      <c r="B222" s="14">
        <v>11601</v>
      </c>
      <c r="C222" s="17">
        <v>1185</v>
      </c>
      <c r="D222" s="17">
        <v>1685</v>
      </c>
      <c r="E222" s="17">
        <v>1951</v>
      </c>
      <c r="F222" s="17">
        <v>2179</v>
      </c>
      <c r="G222" s="17">
        <v>2397</v>
      </c>
      <c r="H222" s="17">
        <v>2605</v>
      </c>
      <c r="I222" s="17">
        <v>2808</v>
      </c>
      <c r="J222" s="17">
        <v>3005</v>
      </c>
      <c r="K222" s="17">
        <v>3197</v>
      </c>
      <c r="L222" s="18">
        <v>3383</v>
      </c>
    </row>
    <row r="223" spans="2:12" ht="12.75">
      <c r="B223" s="14">
        <v>11651</v>
      </c>
      <c r="C223" s="17">
        <v>1188</v>
      </c>
      <c r="D223" s="17">
        <v>1689</v>
      </c>
      <c r="E223" s="17">
        <v>1956</v>
      </c>
      <c r="F223" s="17">
        <v>2185</v>
      </c>
      <c r="G223" s="17">
        <v>2403</v>
      </c>
      <c r="H223" s="17">
        <v>2612</v>
      </c>
      <c r="I223" s="17">
        <v>2816</v>
      </c>
      <c r="J223" s="17">
        <v>3013</v>
      </c>
      <c r="K223" s="17">
        <v>3206</v>
      </c>
      <c r="L223" s="18">
        <v>3392</v>
      </c>
    </row>
    <row r="224" spans="2:12" ht="12.75">
      <c r="B224" s="14">
        <v>11701</v>
      </c>
      <c r="C224" s="17">
        <v>1191</v>
      </c>
      <c r="D224" s="17">
        <v>1694</v>
      </c>
      <c r="E224" s="17">
        <v>1961</v>
      </c>
      <c r="F224" s="17">
        <v>2191</v>
      </c>
      <c r="G224" s="17">
        <v>2410</v>
      </c>
      <c r="H224" s="17">
        <v>2620</v>
      </c>
      <c r="I224" s="17">
        <v>2824</v>
      </c>
      <c r="J224" s="17">
        <v>3022</v>
      </c>
      <c r="K224" s="17">
        <v>3215</v>
      </c>
      <c r="L224" s="18">
        <v>3401</v>
      </c>
    </row>
    <row r="225" spans="2:12" ht="12.75">
      <c r="B225" s="14">
        <v>11751</v>
      </c>
      <c r="C225" s="17">
        <v>1194</v>
      </c>
      <c r="D225" s="17">
        <v>1698</v>
      </c>
      <c r="E225" s="17">
        <v>1967</v>
      </c>
      <c r="F225" s="17">
        <v>2197</v>
      </c>
      <c r="G225" s="17">
        <v>2417</v>
      </c>
      <c r="H225" s="17">
        <v>2627</v>
      </c>
      <c r="I225" s="17">
        <v>2832</v>
      </c>
      <c r="J225" s="17">
        <v>3030</v>
      </c>
      <c r="K225" s="17">
        <v>3224</v>
      </c>
      <c r="L225" s="18">
        <v>3411</v>
      </c>
    </row>
    <row r="226" spans="2:12" ht="12.75">
      <c r="B226" s="14">
        <v>11801</v>
      </c>
      <c r="C226" s="17">
        <v>1197</v>
      </c>
      <c r="D226" s="17">
        <v>1703</v>
      </c>
      <c r="E226" s="17">
        <v>1972</v>
      </c>
      <c r="F226" s="17">
        <v>2203</v>
      </c>
      <c r="G226" s="17">
        <v>2423</v>
      </c>
      <c r="H226" s="17">
        <v>2634</v>
      </c>
      <c r="I226" s="17">
        <v>2839</v>
      </c>
      <c r="J226" s="17">
        <v>3038</v>
      </c>
      <c r="K226" s="17">
        <v>3233</v>
      </c>
      <c r="L226" s="18">
        <v>3420</v>
      </c>
    </row>
    <row r="227" spans="2:12" ht="12.75">
      <c r="B227" s="14">
        <v>11851</v>
      </c>
      <c r="C227" s="17">
        <v>1200</v>
      </c>
      <c r="D227" s="17">
        <v>1707</v>
      </c>
      <c r="E227" s="17">
        <v>1978</v>
      </c>
      <c r="F227" s="17">
        <v>2209</v>
      </c>
      <c r="G227" s="17">
        <v>2430</v>
      </c>
      <c r="H227" s="17">
        <v>2641</v>
      </c>
      <c r="I227" s="17">
        <v>2847</v>
      </c>
      <c r="J227" s="17">
        <v>3047</v>
      </c>
      <c r="K227" s="17">
        <v>3241</v>
      </c>
      <c r="L227" s="18">
        <v>3429</v>
      </c>
    </row>
    <row r="228" spans="2:12" ht="12.75">
      <c r="B228" s="14">
        <v>11901</v>
      </c>
      <c r="C228" s="17">
        <v>1203</v>
      </c>
      <c r="D228" s="17">
        <v>1712</v>
      </c>
      <c r="E228" s="17">
        <v>1983</v>
      </c>
      <c r="F228" s="17">
        <v>2215</v>
      </c>
      <c r="G228" s="17">
        <v>2436</v>
      </c>
      <c r="H228" s="17">
        <v>2648</v>
      </c>
      <c r="I228" s="17">
        <v>2855</v>
      </c>
      <c r="J228" s="17">
        <v>3055</v>
      </c>
      <c r="K228" s="17">
        <v>3250</v>
      </c>
      <c r="L228" s="18">
        <v>3439</v>
      </c>
    </row>
    <row r="229" spans="2:12" ht="12.75">
      <c r="B229" s="14">
        <v>11951</v>
      </c>
      <c r="C229" s="17">
        <v>1207</v>
      </c>
      <c r="D229" s="17">
        <v>1717</v>
      </c>
      <c r="E229" s="17">
        <v>1988</v>
      </c>
      <c r="F229" s="17">
        <v>2221</v>
      </c>
      <c r="G229" s="17">
        <v>2443</v>
      </c>
      <c r="H229" s="17">
        <v>2656</v>
      </c>
      <c r="I229" s="17">
        <v>2863</v>
      </c>
      <c r="J229" s="17">
        <v>3063</v>
      </c>
      <c r="K229" s="17">
        <v>3259</v>
      </c>
      <c r="L229" s="18">
        <v>3448</v>
      </c>
    </row>
    <row r="230" spans="2:12" ht="12.75">
      <c r="B230" s="14">
        <v>12001</v>
      </c>
      <c r="C230" s="17">
        <v>1210</v>
      </c>
      <c r="D230" s="17">
        <v>1721</v>
      </c>
      <c r="E230" s="17">
        <v>1994</v>
      </c>
      <c r="F230" s="17">
        <v>2227</v>
      </c>
      <c r="G230" s="17">
        <v>2450</v>
      </c>
      <c r="H230" s="17">
        <v>2663</v>
      </c>
      <c r="I230" s="17">
        <v>2870</v>
      </c>
      <c r="J230" s="17">
        <v>3071</v>
      </c>
      <c r="K230" s="17">
        <v>3268</v>
      </c>
      <c r="L230" s="18">
        <v>3458</v>
      </c>
    </row>
    <row r="231" spans="2:12" ht="12.75">
      <c r="B231" s="14">
        <v>12051</v>
      </c>
      <c r="C231" s="17">
        <v>1213</v>
      </c>
      <c r="D231" s="17">
        <v>1726</v>
      </c>
      <c r="E231" s="17">
        <v>1999</v>
      </c>
      <c r="F231" s="17">
        <v>2233</v>
      </c>
      <c r="G231" s="17">
        <v>2456</v>
      </c>
      <c r="H231" s="17">
        <v>2670</v>
      </c>
      <c r="I231" s="17">
        <v>2878</v>
      </c>
      <c r="J231" s="17">
        <v>3080</v>
      </c>
      <c r="K231" s="17">
        <v>3277</v>
      </c>
      <c r="L231" s="18">
        <v>3467</v>
      </c>
    </row>
    <row r="232" spans="2:12" ht="12.75">
      <c r="B232" s="14">
        <v>12101</v>
      </c>
      <c r="C232" s="17">
        <v>1216</v>
      </c>
      <c r="D232" s="17">
        <v>1730</v>
      </c>
      <c r="E232" s="17">
        <v>2004</v>
      </c>
      <c r="F232" s="17">
        <v>2239</v>
      </c>
      <c r="G232" s="17">
        <v>2463</v>
      </c>
      <c r="H232" s="17">
        <v>2677</v>
      </c>
      <c r="I232" s="17">
        <v>2886</v>
      </c>
      <c r="J232" s="17">
        <v>3088</v>
      </c>
      <c r="K232" s="17">
        <v>3286</v>
      </c>
      <c r="L232" s="18">
        <v>3476</v>
      </c>
    </row>
    <row r="233" spans="2:12" ht="12.75">
      <c r="B233" s="14">
        <v>12151</v>
      </c>
      <c r="C233" s="17">
        <v>1219</v>
      </c>
      <c r="D233" s="17">
        <v>1735</v>
      </c>
      <c r="E233" s="17">
        <v>2010</v>
      </c>
      <c r="F233" s="17">
        <v>2245</v>
      </c>
      <c r="G233" s="17">
        <v>2470</v>
      </c>
      <c r="H233" s="17">
        <v>2684</v>
      </c>
      <c r="I233" s="17">
        <v>2894</v>
      </c>
      <c r="J233" s="17">
        <v>3096</v>
      </c>
      <c r="K233" s="17">
        <v>3295</v>
      </c>
      <c r="L233" s="18">
        <v>3486</v>
      </c>
    </row>
    <row r="234" spans="2:12" ht="12.75">
      <c r="B234" s="14">
        <v>12201</v>
      </c>
      <c r="C234" s="17">
        <v>1222</v>
      </c>
      <c r="D234" s="17">
        <v>1739</v>
      </c>
      <c r="E234" s="17">
        <v>2015</v>
      </c>
      <c r="F234" s="17">
        <v>2251</v>
      </c>
      <c r="G234" s="17">
        <v>2476</v>
      </c>
      <c r="H234" s="17">
        <v>2692</v>
      </c>
      <c r="I234" s="17">
        <v>2902</v>
      </c>
      <c r="J234" s="17">
        <v>3105</v>
      </c>
      <c r="K234" s="17">
        <v>3303</v>
      </c>
      <c r="L234" s="18">
        <v>3495</v>
      </c>
    </row>
    <row r="235" spans="2:12" ht="12.75">
      <c r="B235" s="14">
        <v>12251</v>
      </c>
      <c r="C235" s="17">
        <v>1225</v>
      </c>
      <c r="D235" s="17">
        <v>1744</v>
      </c>
      <c r="E235" s="17">
        <v>2021</v>
      </c>
      <c r="F235" s="17">
        <v>2257</v>
      </c>
      <c r="G235" s="17">
        <v>2483</v>
      </c>
      <c r="H235" s="17">
        <v>2699</v>
      </c>
      <c r="I235" s="17">
        <v>2909</v>
      </c>
      <c r="J235" s="17">
        <v>3113</v>
      </c>
      <c r="K235" s="17">
        <v>3312</v>
      </c>
      <c r="L235" s="18">
        <v>3504</v>
      </c>
    </row>
    <row r="236" spans="2:12" ht="12.75">
      <c r="B236" s="14">
        <v>12301</v>
      </c>
      <c r="C236" s="17">
        <v>1229</v>
      </c>
      <c r="D236" s="17">
        <v>1748</v>
      </c>
      <c r="E236" s="17">
        <v>2026</v>
      </c>
      <c r="F236" s="17">
        <v>2263</v>
      </c>
      <c r="G236" s="17">
        <v>2489</v>
      </c>
      <c r="H236" s="17">
        <v>2706</v>
      </c>
      <c r="I236" s="17">
        <v>2917</v>
      </c>
      <c r="J236" s="17">
        <v>3121</v>
      </c>
      <c r="K236" s="17">
        <v>3321</v>
      </c>
      <c r="L236" s="18">
        <v>3514</v>
      </c>
    </row>
    <row r="237" spans="2:12" ht="12.75">
      <c r="B237" s="14">
        <v>12351</v>
      </c>
      <c r="C237" s="17">
        <v>1232</v>
      </c>
      <c r="D237" s="17">
        <v>1753</v>
      </c>
      <c r="E237" s="17">
        <v>2031</v>
      </c>
      <c r="F237" s="17">
        <v>2269</v>
      </c>
      <c r="G237" s="17">
        <v>2496</v>
      </c>
      <c r="H237" s="17">
        <v>2713</v>
      </c>
      <c r="I237" s="17">
        <v>2925</v>
      </c>
      <c r="J237" s="17">
        <v>3130</v>
      </c>
      <c r="K237" s="17">
        <v>3330</v>
      </c>
      <c r="L237" s="18">
        <v>3523</v>
      </c>
    </row>
    <row r="238" spans="2:12" ht="12.75">
      <c r="B238" s="14">
        <v>12401</v>
      </c>
      <c r="C238" s="17">
        <v>1235</v>
      </c>
      <c r="D238" s="17">
        <v>1757</v>
      </c>
      <c r="E238" s="17">
        <v>2037</v>
      </c>
      <c r="F238" s="17">
        <v>2275</v>
      </c>
      <c r="G238" s="17">
        <v>2503</v>
      </c>
      <c r="H238" s="17">
        <v>2720</v>
      </c>
      <c r="I238" s="17">
        <v>2933</v>
      </c>
      <c r="J238" s="17">
        <v>3138</v>
      </c>
      <c r="K238" s="17">
        <v>3339</v>
      </c>
      <c r="L238" s="18">
        <v>3532</v>
      </c>
    </row>
    <row r="239" spans="2:12" ht="12.75">
      <c r="B239" s="14">
        <v>12451</v>
      </c>
      <c r="C239" s="17">
        <v>1238</v>
      </c>
      <c r="D239" s="17">
        <v>1762</v>
      </c>
      <c r="E239" s="17">
        <v>2042</v>
      </c>
      <c r="F239" s="17">
        <v>2281</v>
      </c>
      <c r="G239" s="17">
        <v>2509</v>
      </c>
      <c r="H239" s="17">
        <v>2728</v>
      </c>
      <c r="I239" s="17">
        <v>2940</v>
      </c>
      <c r="J239" s="17">
        <v>3146</v>
      </c>
      <c r="K239" s="17">
        <v>3348</v>
      </c>
      <c r="L239" s="18">
        <v>3542</v>
      </c>
    </row>
    <row r="240" spans="2:12" ht="12.75">
      <c r="B240" s="14">
        <v>12501</v>
      </c>
      <c r="C240" s="17">
        <v>1241</v>
      </c>
      <c r="D240" s="17">
        <v>1767</v>
      </c>
      <c r="E240" s="17">
        <v>2048</v>
      </c>
      <c r="F240" s="17">
        <v>2287</v>
      </c>
      <c r="G240" s="17">
        <v>2516</v>
      </c>
      <c r="H240" s="17">
        <v>2735</v>
      </c>
      <c r="I240" s="17">
        <v>2948</v>
      </c>
      <c r="J240" s="17">
        <v>3154</v>
      </c>
      <c r="K240" s="17">
        <v>3356</v>
      </c>
      <c r="L240" s="18">
        <v>3551</v>
      </c>
    </row>
    <row r="241" spans="2:12" ht="12.75">
      <c r="B241" s="14">
        <v>12551</v>
      </c>
      <c r="C241" s="17">
        <v>1244</v>
      </c>
      <c r="D241" s="17">
        <v>1771</v>
      </c>
      <c r="E241" s="17">
        <v>2053</v>
      </c>
      <c r="F241" s="17">
        <v>2293</v>
      </c>
      <c r="G241" s="17">
        <v>2523</v>
      </c>
      <c r="H241" s="17">
        <v>2742</v>
      </c>
      <c r="I241" s="17">
        <v>2956</v>
      </c>
      <c r="J241" s="17">
        <v>3163</v>
      </c>
      <c r="K241" s="17">
        <v>3365</v>
      </c>
      <c r="L241" s="18">
        <v>3560</v>
      </c>
    </row>
    <row r="242" spans="2:12" ht="12.75">
      <c r="B242" s="14">
        <v>12601</v>
      </c>
      <c r="C242" s="17">
        <v>1247</v>
      </c>
      <c r="D242" s="17">
        <v>1776</v>
      </c>
      <c r="E242" s="17">
        <v>2058</v>
      </c>
      <c r="F242" s="17">
        <v>2299</v>
      </c>
      <c r="G242" s="17">
        <v>2529</v>
      </c>
      <c r="H242" s="17">
        <v>2749</v>
      </c>
      <c r="I242" s="17">
        <v>2964</v>
      </c>
      <c r="J242" s="17">
        <v>3171</v>
      </c>
      <c r="K242" s="17">
        <v>3374</v>
      </c>
      <c r="L242" s="18">
        <v>3570</v>
      </c>
    </row>
    <row r="243" spans="2:12" ht="12.75">
      <c r="B243" s="14">
        <v>12651</v>
      </c>
      <c r="C243" s="17">
        <v>1250</v>
      </c>
      <c r="D243" s="17">
        <v>1780</v>
      </c>
      <c r="E243" s="17">
        <v>2064</v>
      </c>
      <c r="F243" s="17">
        <v>2305</v>
      </c>
      <c r="G243" s="17">
        <v>2535</v>
      </c>
      <c r="H243" s="17">
        <v>2756</v>
      </c>
      <c r="I243" s="17">
        <v>2971</v>
      </c>
      <c r="J243" s="17">
        <v>3179</v>
      </c>
      <c r="K243" s="17">
        <v>3382</v>
      </c>
      <c r="L243" s="18">
        <v>3579</v>
      </c>
    </row>
    <row r="244" spans="2:12" ht="12.75">
      <c r="B244" s="14">
        <v>12701</v>
      </c>
      <c r="C244" s="17">
        <v>1252</v>
      </c>
      <c r="D244" s="17">
        <v>1782</v>
      </c>
      <c r="E244" s="17">
        <v>2066</v>
      </c>
      <c r="F244" s="17">
        <v>2308</v>
      </c>
      <c r="G244" s="17">
        <v>2538</v>
      </c>
      <c r="H244" s="17">
        <v>2759</v>
      </c>
      <c r="I244" s="17">
        <v>2975</v>
      </c>
      <c r="J244" s="17">
        <v>3183</v>
      </c>
      <c r="K244" s="17">
        <v>3386</v>
      </c>
      <c r="L244" s="18">
        <v>3583</v>
      </c>
    </row>
    <row r="245" spans="2:12" ht="12.75">
      <c r="B245" s="14">
        <v>12751</v>
      </c>
      <c r="C245" s="17">
        <v>1253</v>
      </c>
      <c r="D245" s="17">
        <v>1784</v>
      </c>
      <c r="E245" s="17">
        <v>2068</v>
      </c>
      <c r="F245" s="17">
        <v>2310</v>
      </c>
      <c r="G245" s="17">
        <v>2542</v>
      </c>
      <c r="H245" s="17">
        <v>2763</v>
      </c>
      <c r="I245" s="17">
        <v>2978</v>
      </c>
      <c r="J245" s="17">
        <v>3187</v>
      </c>
      <c r="K245" s="17">
        <v>3391</v>
      </c>
      <c r="L245" s="18">
        <v>3587</v>
      </c>
    </row>
    <row r="246" spans="2:12" ht="12.75">
      <c r="B246" s="14">
        <v>12801</v>
      </c>
      <c r="C246" s="17">
        <v>1255</v>
      </c>
      <c r="D246" s="17">
        <v>1787</v>
      </c>
      <c r="E246" s="17">
        <v>2071</v>
      </c>
      <c r="F246" s="17">
        <v>2313</v>
      </c>
      <c r="G246" s="17">
        <v>2545</v>
      </c>
      <c r="H246" s="17">
        <v>2766</v>
      </c>
      <c r="I246" s="17">
        <v>2982</v>
      </c>
      <c r="J246" s="17">
        <v>3190</v>
      </c>
      <c r="K246" s="17">
        <v>3395</v>
      </c>
      <c r="L246" s="18">
        <v>3591</v>
      </c>
    </row>
    <row r="247" spans="2:12" ht="12.75">
      <c r="B247" s="14">
        <v>12851</v>
      </c>
      <c r="C247" s="17">
        <v>1257</v>
      </c>
      <c r="D247" s="17">
        <v>1789</v>
      </c>
      <c r="E247" s="17">
        <v>2073</v>
      </c>
      <c r="F247" s="17">
        <v>2316</v>
      </c>
      <c r="G247" s="17">
        <v>2548</v>
      </c>
      <c r="H247" s="17">
        <v>2769</v>
      </c>
      <c r="I247" s="17">
        <v>2985</v>
      </c>
      <c r="J247" s="17">
        <v>3194</v>
      </c>
      <c r="K247" s="17">
        <v>3399</v>
      </c>
      <c r="L247" s="18">
        <v>3596</v>
      </c>
    </row>
    <row r="248" spans="2:12" ht="12.75">
      <c r="B248" s="14">
        <v>12901</v>
      </c>
      <c r="C248" s="17">
        <v>1258</v>
      </c>
      <c r="D248" s="17">
        <v>1791</v>
      </c>
      <c r="E248" s="17">
        <v>2076</v>
      </c>
      <c r="F248" s="17">
        <v>2319</v>
      </c>
      <c r="G248" s="17">
        <v>2551</v>
      </c>
      <c r="H248" s="17">
        <v>2773</v>
      </c>
      <c r="I248" s="17">
        <v>2989</v>
      </c>
      <c r="J248" s="17">
        <v>3198</v>
      </c>
      <c r="K248" s="17">
        <v>3403</v>
      </c>
      <c r="L248" s="18">
        <v>3600</v>
      </c>
    </row>
    <row r="249" spans="2:12" ht="12.75">
      <c r="B249" s="14">
        <v>12951</v>
      </c>
      <c r="C249" s="17">
        <v>1260</v>
      </c>
      <c r="D249" s="17">
        <v>1793</v>
      </c>
      <c r="E249" s="17">
        <v>2078</v>
      </c>
      <c r="F249" s="17">
        <v>2322</v>
      </c>
      <c r="G249" s="17">
        <v>2554</v>
      </c>
      <c r="H249" s="17">
        <v>2776</v>
      </c>
      <c r="I249" s="17">
        <v>2992</v>
      </c>
      <c r="J249" s="17">
        <v>3202</v>
      </c>
      <c r="K249" s="17">
        <v>3407</v>
      </c>
      <c r="L249" s="18">
        <v>3604</v>
      </c>
    </row>
    <row r="250" spans="2:12" ht="12.75">
      <c r="B250" s="14">
        <v>13001</v>
      </c>
      <c r="C250" s="17">
        <v>1261</v>
      </c>
      <c r="D250" s="17">
        <v>1796</v>
      </c>
      <c r="E250" s="17">
        <v>2081</v>
      </c>
      <c r="F250" s="17">
        <v>2324</v>
      </c>
      <c r="G250" s="17">
        <v>2557</v>
      </c>
      <c r="H250" s="17">
        <v>2779</v>
      </c>
      <c r="I250" s="17">
        <v>2996</v>
      </c>
      <c r="J250" s="17">
        <v>3206</v>
      </c>
      <c r="K250" s="17">
        <v>3411</v>
      </c>
      <c r="L250" s="18">
        <v>3609</v>
      </c>
    </row>
    <row r="251" spans="2:12" ht="12.75">
      <c r="B251" s="14">
        <v>13051</v>
      </c>
      <c r="C251" s="17">
        <v>1263</v>
      </c>
      <c r="D251" s="17">
        <v>1798</v>
      </c>
      <c r="E251" s="17">
        <v>2083</v>
      </c>
      <c r="F251" s="17">
        <v>2327</v>
      </c>
      <c r="G251" s="17">
        <v>2560</v>
      </c>
      <c r="H251" s="17">
        <v>2782</v>
      </c>
      <c r="I251" s="17">
        <v>3000</v>
      </c>
      <c r="J251" s="17">
        <v>3209</v>
      </c>
      <c r="K251" s="17">
        <v>3415</v>
      </c>
      <c r="L251" s="18">
        <v>3613</v>
      </c>
    </row>
    <row r="252" spans="2:12" ht="12.75">
      <c r="B252" s="14">
        <v>13101</v>
      </c>
      <c r="C252" s="17">
        <v>1265</v>
      </c>
      <c r="D252" s="17">
        <v>1800</v>
      </c>
      <c r="E252" s="17">
        <v>2086</v>
      </c>
      <c r="F252" s="17">
        <v>2330</v>
      </c>
      <c r="G252" s="17">
        <v>2563</v>
      </c>
      <c r="H252" s="17">
        <v>2786</v>
      </c>
      <c r="I252" s="17">
        <v>3003</v>
      </c>
      <c r="J252" s="17">
        <v>3213</v>
      </c>
      <c r="K252" s="17">
        <v>3419</v>
      </c>
      <c r="L252" s="18">
        <v>3617</v>
      </c>
    </row>
    <row r="253" spans="2:12" ht="12.75">
      <c r="B253" s="14">
        <v>13151</v>
      </c>
      <c r="C253" s="17">
        <v>1266</v>
      </c>
      <c r="D253" s="17">
        <v>1802</v>
      </c>
      <c r="E253" s="17">
        <v>2088</v>
      </c>
      <c r="F253" s="17">
        <v>2333</v>
      </c>
      <c r="G253" s="17">
        <v>2566</v>
      </c>
      <c r="H253" s="17">
        <v>2789</v>
      </c>
      <c r="I253" s="17">
        <v>3007</v>
      </c>
      <c r="J253" s="17">
        <v>3217</v>
      </c>
      <c r="K253" s="17">
        <v>3423</v>
      </c>
      <c r="L253" s="18">
        <v>3622</v>
      </c>
    </row>
    <row r="254" spans="2:12" ht="12.75">
      <c r="B254" s="14">
        <v>13201</v>
      </c>
      <c r="C254" s="17">
        <v>1268</v>
      </c>
      <c r="D254" s="17">
        <v>1804</v>
      </c>
      <c r="E254" s="17">
        <v>2091</v>
      </c>
      <c r="F254" s="17">
        <v>2335</v>
      </c>
      <c r="G254" s="17">
        <v>2569</v>
      </c>
      <c r="H254" s="17">
        <v>2792</v>
      </c>
      <c r="I254" s="17">
        <v>3010</v>
      </c>
      <c r="J254" s="17">
        <v>3221</v>
      </c>
      <c r="K254" s="17">
        <v>3427</v>
      </c>
      <c r="L254" s="18">
        <v>3626</v>
      </c>
    </row>
    <row r="255" spans="2:12" ht="12.75">
      <c r="B255" s="14">
        <v>13251</v>
      </c>
      <c r="C255" s="17">
        <v>1269</v>
      </c>
      <c r="D255" s="17">
        <v>1807</v>
      </c>
      <c r="E255" s="17">
        <v>2093</v>
      </c>
      <c r="F255" s="17">
        <v>2338</v>
      </c>
      <c r="G255" s="17">
        <v>2572</v>
      </c>
      <c r="H255" s="17">
        <v>2796</v>
      </c>
      <c r="I255" s="17">
        <v>3014</v>
      </c>
      <c r="J255" s="17">
        <v>3225</v>
      </c>
      <c r="K255" s="17">
        <v>3431</v>
      </c>
      <c r="L255" s="18">
        <v>3630</v>
      </c>
    </row>
    <row r="256" spans="2:12" ht="12.75">
      <c r="B256" s="14">
        <v>13301</v>
      </c>
      <c r="C256" s="17">
        <v>1271</v>
      </c>
      <c r="D256" s="17">
        <v>1809</v>
      </c>
      <c r="E256" s="17">
        <v>2096</v>
      </c>
      <c r="F256" s="17">
        <v>2341</v>
      </c>
      <c r="G256" s="17">
        <v>2575</v>
      </c>
      <c r="H256" s="17">
        <v>2799</v>
      </c>
      <c r="I256" s="17">
        <v>3017</v>
      </c>
      <c r="J256" s="17">
        <v>3229</v>
      </c>
      <c r="K256" s="17">
        <v>3435</v>
      </c>
      <c r="L256" s="18">
        <v>3634</v>
      </c>
    </row>
    <row r="257" spans="2:12" ht="12.75">
      <c r="B257" s="14">
        <v>13351</v>
      </c>
      <c r="C257" s="17">
        <v>1273</v>
      </c>
      <c r="D257" s="17">
        <v>1811</v>
      </c>
      <c r="E257" s="17">
        <v>2098</v>
      </c>
      <c r="F257" s="17">
        <v>2344</v>
      </c>
      <c r="G257" s="17">
        <v>2578</v>
      </c>
      <c r="H257" s="17">
        <v>2802</v>
      </c>
      <c r="I257" s="17">
        <v>3021</v>
      </c>
      <c r="J257" s="17">
        <v>3232</v>
      </c>
      <c r="K257" s="17">
        <v>3439</v>
      </c>
      <c r="L257" s="18">
        <v>3639</v>
      </c>
    </row>
    <row r="258" spans="2:12" ht="12.75">
      <c r="B258" s="14">
        <v>13401</v>
      </c>
      <c r="C258" s="17">
        <v>1274</v>
      </c>
      <c r="D258" s="17">
        <v>1813</v>
      </c>
      <c r="E258" s="17">
        <v>2101</v>
      </c>
      <c r="F258" s="17">
        <v>2346</v>
      </c>
      <c r="G258" s="17">
        <v>2581</v>
      </c>
      <c r="H258" s="17">
        <v>2806</v>
      </c>
      <c r="I258" s="17">
        <v>3024</v>
      </c>
      <c r="J258" s="17">
        <v>3236</v>
      </c>
      <c r="K258" s="17">
        <v>3443</v>
      </c>
      <c r="L258" s="18">
        <v>3643</v>
      </c>
    </row>
    <row r="259" spans="2:12" ht="12.75">
      <c r="B259" s="14">
        <v>13451</v>
      </c>
      <c r="C259" s="17">
        <v>1276</v>
      </c>
      <c r="D259" s="17">
        <v>1815</v>
      </c>
      <c r="E259" s="17">
        <v>2103</v>
      </c>
      <c r="F259" s="17">
        <v>2349</v>
      </c>
      <c r="G259" s="17">
        <v>2584</v>
      </c>
      <c r="H259" s="17">
        <v>2809</v>
      </c>
      <c r="I259" s="17">
        <v>3028</v>
      </c>
      <c r="J259" s="17">
        <v>3240</v>
      </c>
      <c r="K259" s="17">
        <v>3447</v>
      </c>
      <c r="L259" s="18">
        <v>3647</v>
      </c>
    </row>
    <row r="260" spans="2:12" ht="12.75">
      <c r="B260" s="14">
        <v>13501</v>
      </c>
      <c r="C260" s="17">
        <v>1277</v>
      </c>
      <c r="D260" s="17">
        <v>1818</v>
      </c>
      <c r="E260" s="17">
        <v>2106</v>
      </c>
      <c r="F260" s="17">
        <v>2352</v>
      </c>
      <c r="G260" s="17">
        <v>2587</v>
      </c>
      <c r="H260" s="17">
        <v>2812</v>
      </c>
      <c r="I260" s="17">
        <v>3032</v>
      </c>
      <c r="J260" s="17">
        <v>3244</v>
      </c>
      <c r="K260" s="17">
        <v>3451</v>
      </c>
      <c r="L260" s="18">
        <v>3652</v>
      </c>
    </row>
    <row r="261" spans="2:12" ht="12.75">
      <c r="B261" s="14">
        <v>13551</v>
      </c>
      <c r="C261" s="17">
        <v>1279</v>
      </c>
      <c r="D261" s="17">
        <v>1820</v>
      </c>
      <c r="E261" s="17">
        <v>2108</v>
      </c>
      <c r="F261" s="17">
        <v>2355</v>
      </c>
      <c r="G261" s="17">
        <v>2590</v>
      </c>
      <c r="H261" s="17">
        <v>2816</v>
      </c>
      <c r="I261" s="17">
        <v>3035</v>
      </c>
      <c r="J261" s="17">
        <v>3248</v>
      </c>
      <c r="K261" s="17">
        <v>3456</v>
      </c>
      <c r="L261" s="18">
        <v>3656</v>
      </c>
    </row>
    <row r="262" spans="2:12" ht="12.75">
      <c r="B262" s="14">
        <v>13601</v>
      </c>
      <c r="C262" s="17">
        <v>1280</v>
      </c>
      <c r="D262" s="17">
        <v>1822</v>
      </c>
      <c r="E262" s="17">
        <v>2110</v>
      </c>
      <c r="F262" s="17">
        <v>2357</v>
      </c>
      <c r="G262" s="17">
        <v>2593</v>
      </c>
      <c r="H262" s="17">
        <v>2819</v>
      </c>
      <c r="I262" s="17">
        <v>3038</v>
      </c>
      <c r="J262" s="17">
        <v>3251</v>
      </c>
      <c r="K262" s="17">
        <v>3459</v>
      </c>
      <c r="L262" s="18">
        <v>3660</v>
      </c>
    </row>
    <row r="263" spans="2:12" ht="12.75">
      <c r="B263" s="14">
        <v>13651</v>
      </c>
      <c r="C263" s="17">
        <v>1282</v>
      </c>
      <c r="D263" s="17">
        <v>1824</v>
      </c>
      <c r="E263" s="17">
        <v>2113</v>
      </c>
      <c r="F263" s="17">
        <v>2360</v>
      </c>
      <c r="G263" s="17">
        <v>2596</v>
      </c>
      <c r="H263" s="17">
        <v>2822</v>
      </c>
      <c r="I263" s="17">
        <v>3042</v>
      </c>
      <c r="J263" s="17">
        <v>3255</v>
      </c>
      <c r="K263" s="17">
        <v>3463</v>
      </c>
      <c r="L263" s="18">
        <v>3664</v>
      </c>
    </row>
    <row r="264" spans="2:12" ht="12.75">
      <c r="B264" s="14">
        <v>13701</v>
      </c>
      <c r="C264" s="17">
        <v>1283</v>
      </c>
      <c r="D264" s="17">
        <v>1826</v>
      </c>
      <c r="E264" s="17">
        <v>2115</v>
      </c>
      <c r="F264" s="17">
        <v>2362</v>
      </c>
      <c r="G264" s="17">
        <v>2599</v>
      </c>
      <c r="H264" s="17">
        <v>2825</v>
      </c>
      <c r="I264" s="17">
        <v>3045</v>
      </c>
      <c r="J264" s="17">
        <v>3258</v>
      </c>
      <c r="K264" s="17">
        <v>3467</v>
      </c>
      <c r="L264" s="18">
        <v>3668</v>
      </c>
    </row>
    <row r="265" spans="2:12" ht="12.75">
      <c r="B265" s="14">
        <v>13751</v>
      </c>
      <c r="C265" s="17">
        <v>1285</v>
      </c>
      <c r="D265" s="17">
        <v>1828</v>
      </c>
      <c r="E265" s="17">
        <v>2117</v>
      </c>
      <c r="F265" s="17">
        <v>2365</v>
      </c>
      <c r="G265" s="17">
        <v>2601</v>
      </c>
      <c r="H265" s="17">
        <v>2828</v>
      </c>
      <c r="I265" s="17">
        <v>3048</v>
      </c>
      <c r="J265" s="17">
        <v>3262</v>
      </c>
      <c r="K265" s="17">
        <v>3470</v>
      </c>
      <c r="L265" s="18">
        <v>3672</v>
      </c>
    </row>
    <row r="266" spans="2:12" ht="12.75">
      <c r="B266" s="14">
        <v>13801</v>
      </c>
      <c r="C266" s="17">
        <v>1286</v>
      </c>
      <c r="D266" s="17">
        <v>1830</v>
      </c>
      <c r="E266" s="17">
        <v>2119</v>
      </c>
      <c r="F266" s="17">
        <v>2367</v>
      </c>
      <c r="G266" s="17">
        <v>2604</v>
      </c>
      <c r="H266" s="17">
        <v>2831</v>
      </c>
      <c r="I266" s="17">
        <v>3052</v>
      </c>
      <c r="J266" s="17">
        <v>3265</v>
      </c>
      <c r="K266" s="17">
        <v>3474</v>
      </c>
      <c r="L266" s="18">
        <v>3676</v>
      </c>
    </row>
    <row r="267" spans="2:12" ht="12.75">
      <c r="B267" s="14">
        <v>13851</v>
      </c>
      <c r="C267" s="17">
        <v>1288</v>
      </c>
      <c r="D267" s="17">
        <v>1832</v>
      </c>
      <c r="E267" s="17">
        <v>2122</v>
      </c>
      <c r="F267" s="17">
        <v>2370</v>
      </c>
      <c r="G267" s="17">
        <v>2607</v>
      </c>
      <c r="H267" s="17">
        <v>2834</v>
      </c>
      <c r="I267" s="17">
        <v>3055</v>
      </c>
      <c r="J267" s="17">
        <v>3269</v>
      </c>
      <c r="K267" s="17">
        <v>3478</v>
      </c>
      <c r="L267" s="18">
        <v>3680</v>
      </c>
    </row>
    <row r="268" spans="2:12" ht="12.75">
      <c r="B268" s="14">
        <v>13901</v>
      </c>
      <c r="C268" s="17">
        <v>1289</v>
      </c>
      <c r="D268" s="17">
        <v>1834</v>
      </c>
      <c r="E268" s="17">
        <v>2124</v>
      </c>
      <c r="F268" s="17">
        <v>2373</v>
      </c>
      <c r="G268" s="17">
        <v>2610</v>
      </c>
      <c r="H268" s="17">
        <v>2837</v>
      </c>
      <c r="I268" s="17">
        <v>3058</v>
      </c>
      <c r="J268" s="17">
        <v>3272</v>
      </c>
      <c r="K268" s="17">
        <v>3482</v>
      </c>
      <c r="L268" s="18">
        <v>3684</v>
      </c>
    </row>
    <row r="269" spans="2:12" ht="12.75">
      <c r="B269" s="14">
        <v>13951</v>
      </c>
      <c r="C269" s="17">
        <v>1291</v>
      </c>
      <c r="D269" s="17">
        <v>1836</v>
      </c>
      <c r="E269" s="17">
        <v>2126</v>
      </c>
      <c r="F269" s="17">
        <v>2375</v>
      </c>
      <c r="G269" s="17">
        <v>2613</v>
      </c>
      <c r="H269" s="17">
        <v>2840</v>
      </c>
      <c r="I269" s="17">
        <v>3061</v>
      </c>
      <c r="J269" s="17">
        <v>3276</v>
      </c>
      <c r="K269" s="17">
        <v>3485</v>
      </c>
      <c r="L269" s="18">
        <v>3688</v>
      </c>
    </row>
    <row r="270" spans="2:12" ht="12.75">
      <c r="B270" s="14">
        <v>14001</v>
      </c>
      <c r="C270" s="17">
        <v>1292</v>
      </c>
      <c r="D270" s="17">
        <v>1838</v>
      </c>
      <c r="E270" s="17">
        <v>2129</v>
      </c>
      <c r="F270" s="17">
        <v>2378</v>
      </c>
      <c r="G270" s="17">
        <v>2615</v>
      </c>
      <c r="H270" s="17">
        <v>2843</v>
      </c>
      <c r="I270" s="17">
        <v>3065</v>
      </c>
      <c r="J270" s="17">
        <v>3279</v>
      </c>
      <c r="K270" s="17">
        <v>3489</v>
      </c>
      <c r="L270" s="18">
        <v>3691</v>
      </c>
    </row>
    <row r="271" spans="2:12" ht="12.75">
      <c r="B271" s="14">
        <v>14051</v>
      </c>
      <c r="C271" s="17">
        <v>1294</v>
      </c>
      <c r="D271" s="17">
        <v>1840</v>
      </c>
      <c r="E271" s="17">
        <v>2131</v>
      </c>
      <c r="F271" s="17">
        <v>2380</v>
      </c>
      <c r="G271" s="17">
        <v>2618</v>
      </c>
      <c r="H271" s="17">
        <v>2846</v>
      </c>
      <c r="I271" s="17">
        <v>3068</v>
      </c>
      <c r="J271" s="17">
        <v>3283</v>
      </c>
      <c r="K271" s="17">
        <v>3493</v>
      </c>
      <c r="L271" s="18">
        <v>3695</v>
      </c>
    </row>
    <row r="272" spans="2:12" ht="12.75">
      <c r="B272" s="14">
        <v>14101</v>
      </c>
      <c r="C272" s="17">
        <v>1296</v>
      </c>
      <c r="D272" s="17">
        <v>1843</v>
      </c>
      <c r="E272" s="17">
        <v>2134</v>
      </c>
      <c r="F272" s="17">
        <v>2384</v>
      </c>
      <c r="G272" s="17">
        <v>2622</v>
      </c>
      <c r="H272" s="17">
        <v>2850</v>
      </c>
      <c r="I272" s="17">
        <v>3073</v>
      </c>
      <c r="J272" s="17">
        <v>3288</v>
      </c>
      <c r="K272" s="17">
        <v>3498</v>
      </c>
      <c r="L272" s="18">
        <v>3701</v>
      </c>
    </row>
    <row r="273" spans="2:12" ht="12.75">
      <c r="B273" s="14">
        <v>14151</v>
      </c>
      <c r="C273" s="17">
        <v>1298</v>
      </c>
      <c r="D273" s="17">
        <v>1846</v>
      </c>
      <c r="E273" s="17">
        <v>2138</v>
      </c>
      <c r="F273" s="17">
        <v>2388</v>
      </c>
      <c r="G273" s="17">
        <v>2627</v>
      </c>
      <c r="H273" s="17">
        <v>2855</v>
      </c>
      <c r="I273" s="17">
        <v>3078</v>
      </c>
      <c r="J273" s="17">
        <v>3293</v>
      </c>
      <c r="K273" s="17">
        <v>3504</v>
      </c>
      <c r="L273" s="18">
        <v>3707</v>
      </c>
    </row>
    <row r="274" spans="2:12" ht="12.75">
      <c r="B274" s="14">
        <v>14201</v>
      </c>
      <c r="C274" s="17">
        <v>1301</v>
      </c>
      <c r="D274" s="17">
        <v>1850</v>
      </c>
      <c r="E274" s="17">
        <v>2141</v>
      </c>
      <c r="F274" s="17">
        <v>2392</v>
      </c>
      <c r="G274" s="17">
        <v>2631</v>
      </c>
      <c r="H274" s="17">
        <v>2860</v>
      </c>
      <c r="I274" s="17">
        <v>3083</v>
      </c>
      <c r="J274" s="17">
        <v>3299</v>
      </c>
      <c r="K274" s="17">
        <v>3510</v>
      </c>
      <c r="L274" s="18">
        <v>3714</v>
      </c>
    </row>
    <row r="275" spans="2:12" ht="12.75">
      <c r="B275" s="14">
        <v>14251</v>
      </c>
      <c r="C275" s="17">
        <v>1303</v>
      </c>
      <c r="D275" s="17">
        <v>1853</v>
      </c>
      <c r="E275" s="17">
        <v>2145</v>
      </c>
      <c r="F275" s="17">
        <v>2396</v>
      </c>
      <c r="G275" s="17">
        <v>2636</v>
      </c>
      <c r="H275" s="17">
        <v>2865</v>
      </c>
      <c r="I275" s="17">
        <v>3088</v>
      </c>
      <c r="J275" s="17">
        <v>3305</v>
      </c>
      <c r="K275" s="17">
        <v>3516</v>
      </c>
      <c r="L275" s="18">
        <v>3720</v>
      </c>
    </row>
    <row r="276" spans="2:12" ht="12.75">
      <c r="B276" s="14">
        <v>14301</v>
      </c>
      <c r="C276" s="17">
        <v>1305</v>
      </c>
      <c r="D276" s="17">
        <v>1856</v>
      </c>
      <c r="E276" s="17">
        <v>2149</v>
      </c>
      <c r="F276" s="17">
        <v>2400</v>
      </c>
      <c r="G276" s="17">
        <v>2640</v>
      </c>
      <c r="H276" s="17">
        <v>2870</v>
      </c>
      <c r="I276" s="17">
        <v>3094</v>
      </c>
      <c r="J276" s="17">
        <v>3310</v>
      </c>
      <c r="K276" s="17">
        <v>3522</v>
      </c>
      <c r="L276" s="18">
        <v>3726</v>
      </c>
    </row>
    <row r="277" spans="2:12" ht="12.75">
      <c r="B277" s="14">
        <v>14351</v>
      </c>
      <c r="C277" s="17">
        <v>1308</v>
      </c>
      <c r="D277" s="17">
        <v>1860</v>
      </c>
      <c r="E277" s="17">
        <v>2152</v>
      </c>
      <c r="F277" s="17">
        <v>2404</v>
      </c>
      <c r="G277" s="17">
        <v>2645</v>
      </c>
      <c r="H277" s="17">
        <v>2875</v>
      </c>
      <c r="I277" s="17">
        <v>3099</v>
      </c>
      <c r="J277" s="17">
        <v>3316</v>
      </c>
      <c r="K277" s="17">
        <v>3528</v>
      </c>
      <c r="L277" s="18">
        <v>3733</v>
      </c>
    </row>
    <row r="278" spans="2:12" ht="12.75">
      <c r="B278" s="14">
        <v>14401</v>
      </c>
      <c r="C278" s="17">
        <v>1310</v>
      </c>
      <c r="D278" s="17">
        <v>1863</v>
      </c>
      <c r="E278" s="17">
        <v>2156</v>
      </c>
      <c r="F278" s="17">
        <v>2408</v>
      </c>
      <c r="G278" s="17">
        <v>2649</v>
      </c>
      <c r="H278" s="17">
        <v>2879</v>
      </c>
      <c r="I278" s="17">
        <v>3104</v>
      </c>
      <c r="J278" s="17">
        <v>3321</v>
      </c>
      <c r="K278" s="17">
        <v>3534</v>
      </c>
      <c r="L278" s="18">
        <v>3739</v>
      </c>
    </row>
    <row r="279" spans="2:12" ht="12.75">
      <c r="B279" s="14">
        <v>14451</v>
      </c>
      <c r="C279" s="17">
        <v>1313</v>
      </c>
      <c r="D279" s="17">
        <v>1866</v>
      </c>
      <c r="E279" s="17">
        <v>2160</v>
      </c>
      <c r="F279" s="17">
        <v>2412</v>
      </c>
      <c r="G279" s="17">
        <v>2653</v>
      </c>
      <c r="H279" s="17">
        <v>2884</v>
      </c>
      <c r="I279" s="17">
        <v>3109</v>
      </c>
      <c r="J279" s="17">
        <v>3327</v>
      </c>
      <c r="K279" s="17">
        <v>3540</v>
      </c>
      <c r="L279" s="18">
        <v>3745</v>
      </c>
    </row>
    <row r="280" spans="2:12" ht="12.75">
      <c r="B280" s="14">
        <v>14501</v>
      </c>
      <c r="C280" s="17">
        <v>1315</v>
      </c>
      <c r="D280" s="17">
        <v>1869</v>
      </c>
      <c r="E280" s="17">
        <v>2163</v>
      </c>
      <c r="F280" s="17">
        <v>2416</v>
      </c>
      <c r="G280" s="17">
        <v>2658</v>
      </c>
      <c r="H280" s="17">
        <v>2889</v>
      </c>
      <c r="I280" s="17">
        <v>3115</v>
      </c>
      <c r="J280" s="17">
        <v>3333</v>
      </c>
      <c r="K280" s="17">
        <v>3546</v>
      </c>
      <c r="L280" s="18">
        <v>3752</v>
      </c>
    </row>
    <row r="281" spans="2:12" ht="12.75">
      <c r="B281" s="14">
        <v>14551</v>
      </c>
      <c r="C281" s="17">
        <v>1318</v>
      </c>
      <c r="D281" s="17">
        <v>1873</v>
      </c>
      <c r="E281" s="17">
        <v>2167</v>
      </c>
      <c r="F281" s="17">
        <v>2420</v>
      </c>
      <c r="G281" s="17">
        <v>2662</v>
      </c>
      <c r="H281" s="17">
        <v>2894</v>
      </c>
      <c r="I281" s="17">
        <v>3120</v>
      </c>
      <c r="J281" s="17">
        <v>3338</v>
      </c>
      <c r="K281" s="17">
        <v>3552</v>
      </c>
      <c r="L281" s="18">
        <v>3758</v>
      </c>
    </row>
    <row r="282" spans="2:12" ht="12.75">
      <c r="B282" s="14">
        <v>14601</v>
      </c>
      <c r="C282" s="17">
        <v>1320</v>
      </c>
      <c r="D282" s="17">
        <v>1876</v>
      </c>
      <c r="E282" s="17">
        <v>2171</v>
      </c>
      <c r="F282" s="17">
        <v>2424</v>
      </c>
      <c r="G282" s="17">
        <v>2667</v>
      </c>
      <c r="H282" s="17">
        <v>2899</v>
      </c>
      <c r="I282" s="17">
        <v>3125</v>
      </c>
      <c r="J282" s="17">
        <v>3344</v>
      </c>
      <c r="K282" s="17">
        <v>3558</v>
      </c>
      <c r="L282" s="18">
        <v>3764</v>
      </c>
    </row>
    <row r="283" spans="2:12" ht="12.75">
      <c r="B283" s="14">
        <v>14651</v>
      </c>
      <c r="C283" s="17">
        <v>1322</v>
      </c>
      <c r="D283" s="17">
        <v>1879</v>
      </c>
      <c r="E283" s="17">
        <v>2174</v>
      </c>
      <c r="F283" s="17">
        <v>2429</v>
      </c>
      <c r="G283" s="17">
        <v>2671</v>
      </c>
      <c r="H283" s="17">
        <v>2904</v>
      </c>
      <c r="I283" s="17">
        <v>3130</v>
      </c>
      <c r="J283" s="17">
        <v>3349</v>
      </c>
      <c r="K283" s="17">
        <v>3564</v>
      </c>
      <c r="L283" s="18">
        <v>3770</v>
      </c>
    </row>
    <row r="284" spans="2:12" ht="12.75">
      <c r="B284" s="14">
        <v>14701</v>
      </c>
      <c r="C284" s="17">
        <v>1325</v>
      </c>
      <c r="D284" s="17">
        <v>1882</v>
      </c>
      <c r="E284" s="17">
        <v>2178</v>
      </c>
      <c r="F284" s="17">
        <v>2433</v>
      </c>
      <c r="G284" s="17">
        <v>2676</v>
      </c>
      <c r="H284" s="17">
        <v>2909</v>
      </c>
      <c r="I284" s="17">
        <v>3136</v>
      </c>
      <c r="J284" s="17">
        <v>3355</v>
      </c>
      <c r="K284" s="17">
        <v>3570</v>
      </c>
      <c r="L284" s="18">
        <v>3777</v>
      </c>
    </row>
    <row r="285" spans="2:12" ht="12.75">
      <c r="B285" s="14">
        <v>14751</v>
      </c>
      <c r="C285" s="17">
        <v>1327</v>
      </c>
      <c r="D285" s="17">
        <v>1886</v>
      </c>
      <c r="E285" s="17">
        <v>2181</v>
      </c>
      <c r="F285" s="17">
        <v>2437</v>
      </c>
      <c r="G285" s="17">
        <v>2680</v>
      </c>
      <c r="H285" s="17">
        <v>2914</v>
      </c>
      <c r="I285" s="17">
        <v>3141</v>
      </c>
      <c r="J285" s="17">
        <v>3361</v>
      </c>
      <c r="K285" s="17">
        <v>3576</v>
      </c>
      <c r="L285" s="18">
        <v>3783</v>
      </c>
    </row>
    <row r="286" spans="2:12" ht="12.75">
      <c r="B286" s="14">
        <v>14801</v>
      </c>
      <c r="C286" s="17">
        <v>1330</v>
      </c>
      <c r="D286" s="17">
        <v>1889</v>
      </c>
      <c r="E286" s="17">
        <v>2185</v>
      </c>
      <c r="F286" s="17">
        <v>2441</v>
      </c>
      <c r="G286" s="17">
        <v>2685</v>
      </c>
      <c r="H286" s="17">
        <v>2918</v>
      </c>
      <c r="I286" s="17">
        <v>3146</v>
      </c>
      <c r="J286" s="17">
        <v>3366</v>
      </c>
      <c r="K286" s="17">
        <v>3582</v>
      </c>
      <c r="L286" s="18">
        <v>3789</v>
      </c>
    </row>
    <row r="287" spans="2:12" ht="12.75">
      <c r="B287" s="14">
        <v>14851</v>
      </c>
      <c r="C287" s="17">
        <v>1332</v>
      </c>
      <c r="D287" s="17">
        <v>1892</v>
      </c>
      <c r="E287" s="17">
        <v>2189</v>
      </c>
      <c r="F287" s="17">
        <v>2445</v>
      </c>
      <c r="G287" s="17">
        <v>2689</v>
      </c>
      <c r="H287" s="17">
        <v>2923</v>
      </c>
      <c r="I287" s="17">
        <v>3151</v>
      </c>
      <c r="J287" s="17">
        <v>3372</v>
      </c>
      <c r="K287" s="17">
        <v>3588</v>
      </c>
      <c r="L287" s="18">
        <v>3796</v>
      </c>
    </row>
    <row r="288" spans="2:12" ht="12.75">
      <c r="B288" s="14">
        <v>14901</v>
      </c>
      <c r="C288" s="17">
        <v>1335</v>
      </c>
      <c r="D288" s="17">
        <v>1896</v>
      </c>
      <c r="E288" s="17">
        <v>2192</v>
      </c>
      <c r="F288" s="17">
        <v>2449</v>
      </c>
      <c r="G288" s="17">
        <v>2694</v>
      </c>
      <c r="H288" s="17">
        <v>2928</v>
      </c>
      <c r="I288" s="17">
        <v>3156</v>
      </c>
      <c r="J288" s="17">
        <v>3377</v>
      </c>
      <c r="K288" s="17">
        <v>3594</v>
      </c>
      <c r="L288" s="18">
        <v>3802</v>
      </c>
    </row>
    <row r="289" spans="2:12" ht="12.75">
      <c r="B289" s="14">
        <v>14951</v>
      </c>
      <c r="C289" s="17">
        <v>1337</v>
      </c>
      <c r="D289" s="17">
        <v>1899</v>
      </c>
      <c r="E289" s="17">
        <v>2196</v>
      </c>
      <c r="F289" s="17">
        <v>2453</v>
      </c>
      <c r="G289" s="17">
        <v>2698</v>
      </c>
      <c r="H289" s="17">
        <v>2933</v>
      </c>
      <c r="I289" s="17">
        <v>3162</v>
      </c>
      <c r="J289" s="17">
        <v>3383</v>
      </c>
      <c r="K289" s="17">
        <v>3600</v>
      </c>
      <c r="L289" s="18">
        <v>3808</v>
      </c>
    </row>
    <row r="290" spans="2:12" ht="12.75">
      <c r="B290" s="14">
        <v>15001</v>
      </c>
      <c r="C290" s="17">
        <v>1339</v>
      </c>
      <c r="D290" s="17">
        <v>1902</v>
      </c>
      <c r="E290" s="17">
        <v>2200</v>
      </c>
      <c r="F290" s="17">
        <v>2457</v>
      </c>
      <c r="G290" s="17">
        <v>2703</v>
      </c>
      <c r="H290" s="17">
        <v>2938</v>
      </c>
      <c r="I290" s="17">
        <v>3167</v>
      </c>
      <c r="J290" s="17">
        <v>3389</v>
      </c>
      <c r="K290" s="17">
        <v>3606</v>
      </c>
      <c r="L290" s="18">
        <v>3815</v>
      </c>
    </row>
    <row r="291" spans="2:12" ht="12.75">
      <c r="B291" s="14">
        <v>15051</v>
      </c>
      <c r="C291" s="17">
        <v>1342</v>
      </c>
      <c r="D291" s="17">
        <v>1905</v>
      </c>
      <c r="E291" s="17">
        <v>2203</v>
      </c>
      <c r="F291" s="17">
        <v>2461</v>
      </c>
      <c r="G291" s="17">
        <v>2707</v>
      </c>
      <c r="H291" s="17">
        <v>2943</v>
      </c>
      <c r="I291" s="17">
        <v>3172</v>
      </c>
      <c r="J291" s="17">
        <v>3394</v>
      </c>
      <c r="K291" s="17">
        <v>3612</v>
      </c>
      <c r="L291" s="18">
        <v>3821</v>
      </c>
    </row>
    <row r="292" spans="2:12" ht="12.75">
      <c r="B292" s="14">
        <v>15101</v>
      </c>
      <c r="C292" s="17">
        <v>1344</v>
      </c>
      <c r="D292" s="17">
        <v>1909</v>
      </c>
      <c r="E292" s="17">
        <v>2207</v>
      </c>
      <c r="F292" s="17">
        <v>2465</v>
      </c>
      <c r="G292" s="17">
        <v>2712</v>
      </c>
      <c r="H292" s="17">
        <v>2948</v>
      </c>
      <c r="I292" s="17">
        <v>3177</v>
      </c>
      <c r="J292" s="17">
        <v>3400</v>
      </c>
      <c r="K292" s="17">
        <v>3617</v>
      </c>
      <c r="L292" s="18">
        <v>3827</v>
      </c>
    </row>
    <row r="293" spans="2:12" ht="12.75">
      <c r="B293" s="14">
        <v>15151</v>
      </c>
      <c r="C293" s="17">
        <v>1347</v>
      </c>
      <c r="D293" s="17">
        <v>1912</v>
      </c>
      <c r="E293" s="17">
        <v>2211</v>
      </c>
      <c r="F293" s="17">
        <v>2469</v>
      </c>
      <c r="G293" s="17">
        <v>2716</v>
      </c>
      <c r="H293" s="17">
        <v>2952</v>
      </c>
      <c r="I293" s="17">
        <v>3183</v>
      </c>
      <c r="J293" s="17">
        <v>3405</v>
      </c>
      <c r="K293" s="17">
        <v>3623</v>
      </c>
      <c r="L293" s="18">
        <v>3834</v>
      </c>
    </row>
    <row r="294" spans="2:12" ht="12.75">
      <c r="B294" s="14">
        <v>15201</v>
      </c>
      <c r="C294" s="17">
        <v>1349</v>
      </c>
      <c r="D294" s="17">
        <v>1915</v>
      </c>
      <c r="E294" s="17">
        <v>2214</v>
      </c>
      <c r="F294" s="17">
        <v>2473</v>
      </c>
      <c r="G294" s="17">
        <v>2721</v>
      </c>
      <c r="H294" s="17">
        <v>2957</v>
      </c>
      <c r="I294" s="17">
        <v>3188</v>
      </c>
      <c r="J294" s="17">
        <v>3411</v>
      </c>
      <c r="K294" s="17">
        <v>3629</v>
      </c>
      <c r="L294" s="18">
        <v>3840</v>
      </c>
    </row>
    <row r="295" spans="2:12" ht="12.75">
      <c r="B295" s="14">
        <v>15251</v>
      </c>
      <c r="C295" s="17">
        <v>1352</v>
      </c>
      <c r="D295" s="17">
        <v>1919</v>
      </c>
      <c r="E295" s="17">
        <v>2218</v>
      </c>
      <c r="F295" s="17">
        <v>2477</v>
      </c>
      <c r="G295" s="17">
        <v>2725</v>
      </c>
      <c r="H295" s="17">
        <v>2962</v>
      </c>
      <c r="I295" s="17">
        <v>3193</v>
      </c>
      <c r="J295" s="17">
        <v>3417</v>
      </c>
      <c r="K295" s="17">
        <v>3635</v>
      </c>
      <c r="L295" s="18">
        <v>3846</v>
      </c>
    </row>
    <row r="296" spans="2:12" ht="12.75">
      <c r="B296" s="14">
        <v>15301</v>
      </c>
      <c r="C296" s="17">
        <v>1354</v>
      </c>
      <c r="D296" s="17">
        <v>1922</v>
      </c>
      <c r="E296" s="17">
        <v>2221</v>
      </c>
      <c r="F296" s="17">
        <v>2481</v>
      </c>
      <c r="G296" s="17">
        <v>2730</v>
      </c>
      <c r="H296" s="17">
        <v>2967</v>
      </c>
      <c r="I296" s="17">
        <v>3198</v>
      </c>
      <c r="J296" s="17">
        <v>3422</v>
      </c>
      <c r="K296" s="17">
        <v>3641</v>
      </c>
      <c r="L296" s="18">
        <v>3853</v>
      </c>
    </row>
    <row r="297" spans="2:12" ht="12.75">
      <c r="B297" s="14">
        <v>15351</v>
      </c>
      <c r="C297" s="17">
        <v>1356</v>
      </c>
      <c r="D297" s="17">
        <v>1925</v>
      </c>
      <c r="E297" s="17">
        <v>2225</v>
      </c>
      <c r="F297" s="17">
        <v>2485</v>
      </c>
      <c r="G297" s="17">
        <v>2734</v>
      </c>
      <c r="H297" s="17">
        <v>2972</v>
      </c>
      <c r="I297" s="17">
        <v>3204</v>
      </c>
      <c r="J297" s="17">
        <v>3428</v>
      </c>
      <c r="K297" s="17">
        <v>3647</v>
      </c>
      <c r="L297" s="18">
        <v>3859</v>
      </c>
    </row>
    <row r="298" spans="2:12" ht="12.75">
      <c r="B298" s="14">
        <v>15401</v>
      </c>
      <c r="C298" s="17">
        <v>1359</v>
      </c>
      <c r="D298" s="17">
        <v>1928</v>
      </c>
      <c r="E298" s="17">
        <v>2229</v>
      </c>
      <c r="F298" s="17">
        <v>2490</v>
      </c>
      <c r="G298" s="17">
        <v>2738</v>
      </c>
      <c r="H298" s="17">
        <v>2977</v>
      </c>
      <c r="I298" s="17">
        <v>3209</v>
      </c>
      <c r="J298" s="17">
        <v>3434</v>
      </c>
      <c r="K298" s="17">
        <v>3653</v>
      </c>
      <c r="L298" s="18">
        <v>3865</v>
      </c>
    </row>
    <row r="299" spans="2:12" ht="12.75">
      <c r="B299" s="14">
        <v>15451</v>
      </c>
      <c r="C299" s="17">
        <v>1361</v>
      </c>
      <c r="D299" s="17">
        <v>1932</v>
      </c>
      <c r="E299" s="17">
        <v>2232</v>
      </c>
      <c r="F299" s="17">
        <v>2494</v>
      </c>
      <c r="G299" s="17">
        <v>2743</v>
      </c>
      <c r="H299" s="17">
        <v>2982</v>
      </c>
      <c r="I299" s="17">
        <v>3214</v>
      </c>
      <c r="J299" s="17">
        <v>3439</v>
      </c>
      <c r="K299" s="17">
        <v>3659</v>
      </c>
      <c r="L299" s="18">
        <v>3871</v>
      </c>
    </row>
    <row r="300" spans="2:12" ht="12.75">
      <c r="B300" s="14">
        <v>15501</v>
      </c>
      <c r="C300" s="17">
        <v>1364</v>
      </c>
      <c r="D300" s="17">
        <v>1935</v>
      </c>
      <c r="E300" s="17">
        <v>2236</v>
      </c>
      <c r="F300" s="17">
        <v>2498</v>
      </c>
      <c r="G300" s="17">
        <v>2747</v>
      </c>
      <c r="H300" s="17">
        <v>2986</v>
      </c>
      <c r="I300" s="17">
        <v>3219</v>
      </c>
      <c r="J300" s="17">
        <v>3445</v>
      </c>
      <c r="K300" s="17">
        <v>3665</v>
      </c>
      <c r="L300" s="18">
        <v>3878</v>
      </c>
    </row>
    <row r="301" spans="2:12" ht="12.75">
      <c r="B301" s="14">
        <v>15551</v>
      </c>
      <c r="C301" s="17">
        <v>1366</v>
      </c>
      <c r="D301" s="17">
        <v>1938</v>
      </c>
      <c r="E301" s="17">
        <v>2240</v>
      </c>
      <c r="F301" s="17">
        <v>2502</v>
      </c>
      <c r="G301" s="17">
        <v>2752</v>
      </c>
      <c r="H301" s="17">
        <v>2991</v>
      </c>
      <c r="I301" s="17">
        <v>3225</v>
      </c>
      <c r="J301" s="17">
        <v>3450</v>
      </c>
      <c r="K301" s="17">
        <v>3671</v>
      </c>
      <c r="L301" s="18">
        <v>3884</v>
      </c>
    </row>
    <row r="302" spans="2:12" ht="12.75">
      <c r="B302" s="14">
        <v>15601</v>
      </c>
      <c r="C302" s="17">
        <v>1369</v>
      </c>
      <c r="D302" s="17">
        <v>1942</v>
      </c>
      <c r="E302" s="17">
        <v>2243</v>
      </c>
      <c r="F302" s="17">
        <v>2506</v>
      </c>
      <c r="G302" s="17">
        <v>2756</v>
      </c>
      <c r="H302" s="17">
        <v>2996</v>
      </c>
      <c r="I302" s="17">
        <v>3230</v>
      </c>
      <c r="J302" s="17">
        <v>3456</v>
      </c>
      <c r="K302" s="17">
        <v>3677</v>
      </c>
      <c r="L302" s="18">
        <v>3890</v>
      </c>
    </row>
    <row r="303" spans="2:12" ht="12.75">
      <c r="B303" s="14">
        <v>15651</v>
      </c>
      <c r="C303" s="17">
        <v>1371</v>
      </c>
      <c r="D303" s="17">
        <v>1945</v>
      </c>
      <c r="E303" s="17">
        <v>2247</v>
      </c>
      <c r="F303" s="17">
        <v>2510</v>
      </c>
      <c r="G303" s="17">
        <v>2761</v>
      </c>
      <c r="H303" s="17">
        <v>3001</v>
      </c>
      <c r="I303" s="17">
        <v>3235</v>
      </c>
      <c r="J303" s="17">
        <v>3462</v>
      </c>
      <c r="K303" s="17">
        <v>3683</v>
      </c>
      <c r="L303" s="18">
        <v>3897</v>
      </c>
    </row>
    <row r="304" spans="2:12" ht="12.75">
      <c r="B304" s="14">
        <v>15701</v>
      </c>
      <c r="C304" s="17">
        <v>1373</v>
      </c>
      <c r="D304" s="17">
        <v>1948</v>
      </c>
      <c r="E304" s="17">
        <v>2251</v>
      </c>
      <c r="F304" s="17">
        <v>2514</v>
      </c>
      <c r="G304" s="17">
        <v>2765</v>
      </c>
      <c r="H304" s="17">
        <v>3006</v>
      </c>
      <c r="I304" s="17">
        <v>3240</v>
      </c>
      <c r="J304" s="17">
        <v>3467</v>
      </c>
      <c r="K304" s="17">
        <v>3689</v>
      </c>
      <c r="L304" s="18">
        <v>3903</v>
      </c>
    </row>
    <row r="305" spans="2:12" ht="12.75">
      <c r="B305" s="14">
        <v>15751</v>
      </c>
      <c r="C305" s="17">
        <v>1376</v>
      </c>
      <c r="D305" s="17">
        <v>1951</v>
      </c>
      <c r="E305" s="17">
        <v>2254</v>
      </c>
      <c r="F305" s="17">
        <v>2518</v>
      </c>
      <c r="G305" s="17">
        <v>2770</v>
      </c>
      <c r="H305" s="17">
        <v>3011</v>
      </c>
      <c r="I305" s="17">
        <v>3246</v>
      </c>
      <c r="J305" s="17">
        <v>3473</v>
      </c>
      <c r="K305" s="17">
        <v>3695</v>
      </c>
      <c r="L305" s="18">
        <v>3909</v>
      </c>
    </row>
    <row r="306" spans="2:12" ht="12.75">
      <c r="B306" s="14">
        <v>15801</v>
      </c>
      <c r="C306" s="17">
        <v>1378</v>
      </c>
      <c r="D306" s="17">
        <v>1955</v>
      </c>
      <c r="E306" s="17">
        <v>2258</v>
      </c>
      <c r="F306" s="17">
        <v>2522</v>
      </c>
      <c r="G306" s="17">
        <v>2774</v>
      </c>
      <c r="H306" s="17">
        <v>3016</v>
      </c>
      <c r="I306" s="17">
        <v>3251</v>
      </c>
      <c r="J306" s="17">
        <v>3478</v>
      </c>
      <c r="K306" s="17">
        <v>3701</v>
      </c>
      <c r="L306" s="18">
        <v>3916</v>
      </c>
    </row>
    <row r="307" spans="2:12" ht="12.75">
      <c r="B307" s="14">
        <v>15851</v>
      </c>
      <c r="C307" s="17">
        <v>1381</v>
      </c>
      <c r="D307" s="17">
        <v>1958</v>
      </c>
      <c r="E307" s="17">
        <v>2262</v>
      </c>
      <c r="F307" s="17">
        <v>2526</v>
      </c>
      <c r="G307" s="17">
        <v>2779</v>
      </c>
      <c r="H307" s="17">
        <v>3021</v>
      </c>
      <c r="I307" s="17">
        <v>3256</v>
      </c>
      <c r="J307" s="17">
        <v>3484</v>
      </c>
      <c r="K307" s="17">
        <v>3707</v>
      </c>
      <c r="L307" s="18">
        <v>3922</v>
      </c>
    </row>
    <row r="308" spans="2:12" ht="12.75">
      <c r="B308" s="14">
        <v>15901</v>
      </c>
      <c r="C308" s="17">
        <v>1383</v>
      </c>
      <c r="D308" s="17">
        <v>1961</v>
      </c>
      <c r="E308" s="17">
        <v>2265</v>
      </c>
      <c r="F308" s="17">
        <v>2530</v>
      </c>
      <c r="G308" s="17">
        <v>2783</v>
      </c>
      <c r="H308" s="17">
        <v>3025</v>
      </c>
      <c r="I308" s="17">
        <v>3261</v>
      </c>
      <c r="J308" s="17">
        <v>3490</v>
      </c>
      <c r="K308" s="17">
        <v>3713</v>
      </c>
      <c r="L308" s="18">
        <v>3928</v>
      </c>
    </row>
    <row r="309" spans="2:12" ht="12.75">
      <c r="B309" s="14">
        <v>15951</v>
      </c>
      <c r="C309" s="17">
        <v>1386</v>
      </c>
      <c r="D309" s="17">
        <v>1965</v>
      </c>
      <c r="E309" s="17">
        <v>2269</v>
      </c>
      <c r="F309" s="17">
        <v>2534</v>
      </c>
      <c r="G309" s="17">
        <v>2788</v>
      </c>
      <c r="H309" s="17">
        <v>3030</v>
      </c>
      <c r="I309" s="17">
        <v>3267</v>
      </c>
      <c r="J309" s="17">
        <v>3495</v>
      </c>
      <c r="K309" s="17">
        <v>3719</v>
      </c>
      <c r="L309" s="18">
        <v>3935</v>
      </c>
    </row>
    <row r="310" spans="2:12" ht="12.75">
      <c r="B310" s="14">
        <v>16001</v>
      </c>
      <c r="C310" s="17">
        <v>1388</v>
      </c>
      <c r="D310" s="17">
        <v>1968</v>
      </c>
      <c r="E310" s="17">
        <v>2273</v>
      </c>
      <c r="F310" s="17">
        <v>2539</v>
      </c>
      <c r="G310" s="17">
        <v>2793</v>
      </c>
      <c r="H310" s="17">
        <v>3036</v>
      </c>
      <c r="I310" s="17">
        <v>3273</v>
      </c>
      <c r="J310" s="17">
        <v>3502</v>
      </c>
      <c r="K310" s="17">
        <v>3726</v>
      </c>
      <c r="L310" s="18">
        <v>3943</v>
      </c>
    </row>
    <row r="311" spans="2:12" ht="12.75">
      <c r="B311" s="14">
        <v>16051</v>
      </c>
      <c r="C311" s="17">
        <v>1391</v>
      </c>
      <c r="D311" s="17">
        <v>1972</v>
      </c>
      <c r="E311" s="17">
        <v>2278</v>
      </c>
      <c r="F311" s="17">
        <v>2544</v>
      </c>
      <c r="G311" s="17">
        <v>2799</v>
      </c>
      <c r="H311" s="17">
        <v>3042</v>
      </c>
      <c r="I311" s="17">
        <v>3279</v>
      </c>
      <c r="J311" s="17">
        <v>3509</v>
      </c>
      <c r="K311" s="17">
        <v>3734</v>
      </c>
      <c r="L311" s="18">
        <v>3950</v>
      </c>
    </row>
    <row r="312" spans="2:12" ht="12.75">
      <c r="B312" s="14">
        <v>16101</v>
      </c>
      <c r="C312" s="17">
        <v>1394</v>
      </c>
      <c r="D312" s="17">
        <v>1976</v>
      </c>
      <c r="E312" s="17">
        <v>2282</v>
      </c>
      <c r="F312" s="17">
        <v>2549</v>
      </c>
      <c r="G312" s="17">
        <v>2804</v>
      </c>
      <c r="H312" s="17">
        <v>3048</v>
      </c>
      <c r="I312" s="17">
        <v>3286</v>
      </c>
      <c r="J312" s="17">
        <v>3516</v>
      </c>
      <c r="K312" s="17">
        <v>3741</v>
      </c>
      <c r="L312" s="18">
        <v>3958</v>
      </c>
    </row>
    <row r="313" spans="2:12" ht="12.75">
      <c r="B313" s="14">
        <v>16151</v>
      </c>
      <c r="C313" s="17">
        <v>1396</v>
      </c>
      <c r="D313" s="17">
        <v>1980</v>
      </c>
      <c r="E313" s="17">
        <v>2287</v>
      </c>
      <c r="F313" s="17">
        <v>2554</v>
      </c>
      <c r="G313" s="17">
        <v>2810</v>
      </c>
      <c r="H313" s="17">
        <v>3054</v>
      </c>
      <c r="I313" s="17">
        <v>3292</v>
      </c>
      <c r="J313" s="17">
        <v>3523</v>
      </c>
      <c r="K313" s="17">
        <v>3748</v>
      </c>
      <c r="L313" s="18">
        <v>3965</v>
      </c>
    </row>
    <row r="314" spans="2:12" ht="12.75">
      <c r="B314" s="14">
        <v>16201</v>
      </c>
      <c r="C314" s="17">
        <v>1399</v>
      </c>
      <c r="D314" s="17">
        <v>1984</v>
      </c>
      <c r="E314" s="17">
        <v>2291</v>
      </c>
      <c r="F314" s="17">
        <v>2559</v>
      </c>
      <c r="G314" s="17">
        <v>2815</v>
      </c>
      <c r="H314" s="17">
        <v>3060</v>
      </c>
      <c r="I314" s="17">
        <v>3299</v>
      </c>
      <c r="J314" s="17">
        <v>3529</v>
      </c>
      <c r="K314" s="17">
        <v>3755</v>
      </c>
      <c r="L314" s="18">
        <v>3973</v>
      </c>
    </row>
    <row r="315" spans="2:12" ht="12.75">
      <c r="B315" s="14">
        <v>16251</v>
      </c>
      <c r="C315" s="17">
        <v>1402</v>
      </c>
      <c r="D315" s="17">
        <v>1988</v>
      </c>
      <c r="E315" s="17">
        <v>2295</v>
      </c>
      <c r="F315" s="17">
        <v>2564</v>
      </c>
      <c r="G315" s="17">
        <v>2820</v>
      </c>
      <c r="H315" s="17">
        <v>3066</v>
      </c>
      <c r="I315" s="17">
        <v>3305</v>
      </c>
      <c r="J315" s="17">
        <v>3536</v>
      </c>
      <c r="K315" s="17">
        <v>3763</v>
      </c>
      <c r="L315" s="18">
        <v>3981</v>
      </c>
    </row>
    <row r="316" spans="2:12" ht="12.75">
      <c r="B316" s="14">
        <v>16301</v>
      </c>
      <c r="C316" s="17">
        <v>1404</v>
      </c>
      <c r="D316" s="17">
        <v>1991</v>
      </c>
      <c r="E316" s="17">
        <v>2300</v>
      </c>
      <c r="F316" s="17">
        <v>2569</v>
      </c>
      <c r="G316" s="17">
        <v>2826</v>
      </c>
      <c r="H316" s="17">
        <v>3072</v>
      </c>
      <c r="I316" s="17">
        <v>3311</v>
      </c>
      <c r="J316" s="17">
        <v>3543</v>
      </c>
      <c r="K316" s="17">
        <v>3770</v>
      </c>
      <c r="L316" s="18">
        <v>3988</v>
      </c>
    </row>
    <row r="317" spans="2:12" ht="12.75">
      <c r="B317" s="14">
        <v>16351</v>
      </c>
      <c r="C317" s="17">
        <v>1407</v>
      </c>
      <c r="D317" s="17">
        <v>1995</v>
      </c>
      <c r="E317" s="17">
        <v>2304</v>
      </c>
      <c r="F317" s="17">
        <v>2574</v>
      </c>
      <c r="G317" s="17">
        <v>2831</v>
      </c>
      <c r="H317" s="17">
        <v>3078</v>
      </c>
      <c r="I317" s="17">
        <v>3318</v>
      </c>
      <c r="J317" s="17">
        <v>3550</v>
      </c>
      <c r="K317" s="17">
        <v>3777</v>
      </c>
      <c r="L317" s="18">
        <v>3996</v>
      </c>
    </row>
    <row r="318" spans="2:12" ht="12.75">
      <c r="B318" s="14">
        <v>16401</v>
      </c>
      <c r="C318" s="17">
        <v>1410</v>
      </c>
      <c r="D318" s="17">
        <v>1999</v>
      </c>
      <c r="E318" s="17">
        <v>2309</v>
      </c>
      <c r="F318" s="17">
        <v>2579</v>
      </c>
      <c r="G318" s="17">
        <v>2837</v>
      </c>
      <c r="H318" s="17">
        <v>3083</v>
      </c>
      <c r="I318" s="17">
        <v>3324</v>
      </c>
      <c r="J318" s="17">
        <v>3557</v>
      </c>
      <c r="K318" s="17">
        <v>3784</v>
      </c>
      <c r="L318" s="18">
        <v>4004</v>
      </c>
    </row>
    <row r="319" spans="2:12" ht="12.75">
      <c r="B319" s="14">
        <v>16451</v>
      </c>
      <c r="C319" s="17">
        <v>1412</v>
      </c>
      <c r="D319" s="17">
        <v>2003</v>
      </c>
      <c r="E319" s="17">
        <v>2313</v>
      </c>
      <c r="F319" s="17">
        <v>2584</v>
      </c>
      <c r="G319" s="17">
        <v>2842</v>
      </c>
      <c r="H319" s="17">
        <v>3089</v>
      </c>
      <c r="I319" s="17">
        <v>3330</v>
      </c>
      <c r="J319" s="17">
        <v>3563</v>
      </c>
      <c r="K319" s="17">
        <v>3792</v>
      </c>
      <c r="L319" s="18">
        <v>4011</v>
      </c>
    </row>
    <row r="320" spans="2:12" ht="12.75">
      <c r="B320" s="14">
        <v>16501</v>
      </c>
      <c r="C320" s="17">
        <v>1415</v>
      </c>
      <c r="D320" s="17">
        <v>2007</v>
      </c>
      <c r="E320" s="17">
        <v>2318</v>
      </c>
      <c r="F320" s="17">
        <v>2589</v>
      </c>
      <c r="G320" s="17">
        <v>2848</v>
      </c>
      <c r="H320" s="17">
        <v>3095</v>
      </c>
      <c r="I320" s="17">
        <v>3337</v>
      </c>
      <c r="J320" s="17">
        <v>3570</v>
      </c>
      <c r="K320" s="17">
        <v>3799</v>
      </c>
      <c r="L320" s="18">
        <v>4019</v>
      </c>
    </row>
    <row r="321" spans="2:12" ht="12.75">
      <c r="B321" s="14">
        <v>16551</v>
      </c>
      <c r="C321" s="17">
        <v>1418</v>
      </c>
      <c r="D321" s="17">
        <v>2010</v>
      </c>
      <c r="E321" s="17">
        <v>2322</v>
      </c>
      <c r="F321" s="17">
        <v>2594</v>
      </c>
      <c r="G321" s="17">
        <v>2853</v>
      </c>
      <c r="H321" s="17">
        <v>3101</v>
      </c>
      <c r="I321" s="17">
        <v>3343</v>
      </c>
      <c r="J321" s="17">
        <v>3577</v>
      </c>
      <c r="K321" s="17">
        <v>3806</v>
      </c>
      <c r="L321" s="18">
        <v>4027</v>
      </c>
    </row>
    <row r="322" spans="2:12" ht="12.75">
      <c r="B322" s="14">
        <v>16601</v>
      </c>
      <c r="C322" s="17">
        <v>1421</v>
      </c>
      <c r="D322" s="17">
        <v>2014</v>
      </c>
      <c r="E322" s="17">
        <v>2326</v>
      </c>
      <c r="F322" s="17">
        <v>2599</v>
      </c>
      <c r="G322" s="17">
        <v>2858</v>
      </c>
      <c r="H322" s="17">
        <v>3107</v>
      </c>
      <c r="I322" s="17">
        <v>3349</v>
      </c>
      <c r="J322" s="17">
        <v>3584</v>
      </c>
      <c r="K322" s="17">
        <v>3813</v>
      </c>
      <c r="L322" s="18">
        <v>4034</v>
      </c>
    </row>
    <row r="323" spans="2:12" ht="12.75">
      <c r="B323" s="14">
        <v>16651</v>
      </c>
      <c r="C323" s="17">
        <v>1423</v>
      </c>
      <c r="D323" s="17">
        <v>2018</v>
      </c>
      <c r="E323" s="17">
        <v>2331</v>
      </c>
      <c r="F323" s="17">
        <v>2603</v>
      </c>
      <c r="G323" s="17">
        <v>2864</v>
      </c>
      <c r="H323" s="17">
        <v>3113</v>
      </c>
      <c r="I323" s="17">
        <v>3356</v>
      </c>
      <c r="J323" s="17">
        <v>3591</v>
      </c>
      <c r="K323" s="17">
        <v>3820</v>
      </c>
      <c r="L323" s="18">
        <v>4042</v>
      </c>
    </row>
    <row r="324" spans="2:12" ht="12.75">
      <c r="B324" s="14">
        <v>16701</v>
      </c>
      <c r="C324" s="17">
        <v>1426</v>
      </c>
      <c r="D324" s="17">
        <v>2022</v>
      </c>
      <c r="E324" s="17">
        <v>2335</v>
      </c>
      <c r="F324" s="17">
        <v>2608</v>
      </c>
      <c r="G324" s="17">
        <v>2869</v>
      </c>
      <c r="H324" s="17">
        <v>3119</v>
      </c>
      <c r="I324" s="17">
        <v>3362</v>
      </c>
      <c r="J324" s="17">
        <v>3597</v>
      </c>
      <c r="K324" s="17">
        <v>3828</v>
      </c>
      <c r="L324" s="18">
        <v>4050</v>
      </c>
    </row>
    <row r="325" spans="2:12" ht="12.75">
      <c r="B325" s="14">
        <v>16751</v>
      </c>
      <c r="C325" s="17">
        <v>1429</v>
      </c>
      <c r="D325" s="17">
        <v>2026</v>
      </c>
      <c r="E325" s="17">
        <v>2340</v>
      </c>
      <c r="F325" s="17">
        <v>2613</v>
      </c>
      <c r="G325" s="17">
        <v>2875</v>
      </c>
      <c r="H325" s="17">
        <v>3125</v>
      </c>
      <c r="I325" s="17">
        <v>3368</v>
      </c>
      <c r="J325" s="17">
        <v>3604</v>
      </c>
      <c r="K325" s="17">
        <v>3835</v>
      </c>
      <c r="L325" s="18">
        <v>4057</v>
      </c>
    </row>
    <row r="326" spans="2:12" ht="12.75">
      <c r="B326" s="14">
        <v>16801</v>
      </c>
      <c r="C326" s="17">
        <v>1431</v>
      </c>
      <c r="D326" s="17">
        <v>2030</v>
      </c>
      <c r="E326" s="17">
        <v>2344</v>
      </c>
      <c r="F326" s="17">
        <v>2618</v>
      </c>
      <c r="G326" s="17">
        <v>2880</v>
      </c>
      <c r="H326" s="17">
        <v>3131</v>
      </c>
      <c r="I326" s="17">
        <v>3375</v>
      </c>
      <c r="J326" s="17">
        <v>3611</v>
      </c>
      <c r="K326" s="17">
        <v>3842</v>
      </c>
      <c r="L326" s="18">
        <v>4065</v>
      </c>
    </row>
    <row r="327" spans="2:12" ht="12.75">
      <c r="B327" s="14">
        <v>16851</v>
      </c>
      <c r="C327" s="17">
        <v>1434</v>
      </c>
      <c r="D327" s="17">
        <v>2033</v>
      </c>
      <c r="E327" s="17">
        <v>2348</v>
      </c>
      <c r="F327" s="17">
        <v>2623</v>
      </c>
      <c r="G327" s="17">
        <v>2885</v>
      </c>
      <c r="H327" s="17">
        <v>3137</v>
      </c>
      <c r="I327" s="17">
        <v>3381</v>
      </c>
      <c r="J327" s="17">
        <v>3618</v>
      </c>
      <c r="K327" s="17">
        <v>3849</v>
      </c>
      <c r="L327" s="18">
        <v>4073</v>
      </c>
    </row>
    <row r="328" spans="2:12" ht="12.75">
      <c r="B328" s="14">
        <v>16901</v>
      </c>
      <c r="C328" s="17">
        <v>1437</v>
      </c>
      <c r="D328" s="17">
        <v>2037</v>
      </c>
      <c r="E328" s="17">
        <v>2353</v>
      </c>
      <c r="F328" s="17">
        <v>2628</v>
      </c>
      <c r="G328" s="17">
        <v>2891</v>
      </c>
      <c r="H328" s="17">
        <v>3142</v>
      </c>
      <c r="I328" s="17">
        <v>3388</v>
      </c>
      <c r="J328" s="17">
        <v>3625</v>
      </c>
      <c r="K328" s="17">
        <v>3857</v>
      </c>
      <c r="L328" s="18">
        <v>4080</v>
      </c>
    </row>
    <row r="329" spans="2:12" ht="12.75">
      <c r="B329" s="14">
        <v>16951</v>
      </c>
      <c r="C329" s="17">
        <v>1439</v>
      </c>
      <c r="D329" s="17">
        <v>2041</v>
      </c>
      <c r="E329" s="17">
        <v>2357</v>
      </c>
      <c r="F329" s="17">
        <v>2633</v>
      </c>
      <c r="G329" s="17">
        <v>2896</v>
      </c>
      <c r="H329" s="17">
        <v>3148</v>
      </c>
      <c r="I329" s="17">
        <v>3394</v>
      </c>
      <c r="J329" s="17">
        <v>3631</v>
      </c>
      <c r="K329" s="17">
        <v>3864</v>
      </c>
      <c r="L329" s="18">
        <v>4088</v>
      </c>
    </row>
    <row r="330" spans="2:12" ht="12.75">
      <c r="B330" s="14">
        <v>17001</v>
      </c>
      <c r="C330" s="17">
        <v>1442</v>
      </c>
      <c r="D330" s="17">
        <v>2045</v>
      </c>
      <c r="E330" s="17">
        <v>2362</v>
      </c>
      <c r="F330" s="17">
        <v>2638</v>
      </c>
      <c r="G330" s="17">
        <v>2902</v>
      </c>
      <c r="H330" s="17">
        <v>3154</v>
      </c>
      <c r="I330" s="17">
        <v>3400</v>
      </c>
      <c r="J330" s="17">
        <v>3638</v>
      </c>
      <c r="K330" s="17">
        <v>3871</v>
      </c>
      <c r="L330" s="18">
        <v>4096</v>
      </c>
    </row>
    <row r="331" spans="2:12" ht="12.75">
      <c r="B331" s="14">
        <v>17051</v>
      </c>
      <c r="C331" s="17">
        <v>1445</v>
      </c>
      <c r="D331" s="17">
        <v>2049</v>
      </c>
      <c r="E331" s="17">
        <v>2366</v>
      </c>
      <c r="F331" s="17">
        <v>2643</v>
      </c>
      <c r="G331" s="17">
        <v>2907</v>
      </c>
      <c r="H331" s="17">
        <v>3160</v>
      </c>
      <c r="I331" s="17">
        <v>3407</v>
      </c>
      <c r="J331" s="17">
        <v>3645</v>
      </c>
      <c r="K331" s="17">
        <v>3878</v>
      </c>
      <c r="L331" s="18">
        <v>4103</v>
      </c>
    </row>
    <row r="332" spans="2:12" ht="12.75">
      <c r="B332" s="14">
        <v>17101</v>
      </c>
      <c r="C332" s="17">
        <v>1447</v>
      </c>
      <c r="D332" s="17">
        <v>2052</v>
      </c>
      <c r="E332" s="17">
        <v>2370</v>
      </c>
      <c r="F332" s="17">
        <v>2648</v>
      </c>
      <c r="G332" s="17">
        <v>2913</v>
      </c>
      <c r="H332" s="17">
        <v>3166</v>
      </c>
      <c r="I332" s="17">
        <v>3413</v>
      </c>
      <c r="J332" s="17">
        <v>3652</v>
      </c>
      <c r="K332" s="17">
        <v>3886</v>
      </c>
      <c r="L332" s="18">
        <v>4111</v>
      </c>
    </row>
    <row r="333" spans="2:12" ht="12.75">
      <c r="B333" s="14">
        <v>17151</v>
      </c>
      <c r="C333" s="17">
        <v>1450</v>
      </c>
      <c r="D333" s="17">
        <v>2056</v>
      </c>
      <c r="E333" s="17">
        <v>2375</v>
      </c>
      <c r="F333" s="17">
        <v>2653</v>
      </c>
      <c r="G333" s="17">
        <v>2918</v>
      </c>
      <c r="H333" s="17">
        <v>3172</v>
      </c>
      <c r="I333" s="17">
        <v>3419</v>
      </c>
      <c r="J333" s="17">
        <v>3659</v>
      </c>
      <c r="K333" s="17">
        <v>3893</v>
      </c>
      <c r="L333" s="18">
        <v>4119</v>
      </c>
    </row>
    <row r="334" spans="2:12" ht="12.75">
      <c r="B334" s="14">
        <v>17201</v>
      </c>
      <c r="C334" s="17">
        <v>1453</v>
      </c>
      <c r="D334" s="17">
        <v>2060</v>
      </c>
      <c r="E334" s="17">
        <v>2379</v>
      </c>
      <c r="F334" s="17">
        <v>2658</v>
      </c>
      <c r="G334" s="17">
        <v>2923</v>
      </c>
      <c r="H334" s="17">
        <v>3178</v>
      </c>
      <c r="I334" s="17">
        <v>3426</v>
      </c>
      <c r="J334" s="17">
        <v>3665</v>
      </c>
      <c r="K334" s="17">
        <v>3900</v>
      </c>
      <c r="L334" s="18">
        <v>4126</v>
      </c>
    </row>
    <row r="335" spans="2:12" ht="12.75">
      <c r="B335" s="14">
        <v>17251</v>
      </c>
      <c r="C335" s="17">
        <v>1455</v>
      </c>
      <c r="D335" s="17">
        <v>2064</v>
      </c>
      <c r="E335" s="17">
        <v>2384</v>
      </c>
      <c r="F335" s="17">
        <v>2663</v>
      </c>
      <c r="G335" s="17">
        <v>2929</v>
      </c>
      <c r="H335" s="17">
        <v>3184</v>
      </c>
      <c r="I335" s="17">
        <v>3432</v>
      </c>
      <c r="J335" s="17">
        <v>3672</v>
      </c>
      <c r="K335" s="17">
        <v>3907</v>
      </c>
      <c r="L335" s="18">
        <v>4134</v>
      </c>
    </row>
    <row r="336" spans="2:12" ht="12.75">
      <c r="B336" s="14">
        <v>17301</v>
      </c>
      <c r="C336" s="17">
        <v>1458</v>
      </c>
      <c r="D336" s="17">
        <v>2068</v>
      </c>
      <c r="E336" s="17">
        <v>2388</v>
      </c>
      <c r="F336" s="17">
        <v>2668</v>
      </c>
      <c r="G336" s="17">
        <v>2934</v>
      </c>
      <c r="H336" s="17">
        <v>3190</v>
      </c>
      <c r="I336" s="17">
        <v>3438</v>
      </c>
      <c r="J336" s="17">
        <v>3679</v>
      </c>
      <c r="K336" s="17">
        <v>3915</v>
      </c>
      <c r="L336" s="18">
        <v>4142</v>
      </c>
    </row>
    <row r="337" spans="2:12" ht="12.75">
      <c r="B337" s="14">
        <v>17351</v>
      </c>
      <c r="C337" s="17">
        <v>1461</v>
      </c>
      <c r="D337" s="17">
        <v>2072</v>
      </c>
      <c r="E337" s="17">
        <v>2393</v>
      </c>
      <c r="F337" s="17">
        <v>2672</v>
      </c>
      <c r="G337" s="17">
        <v>2940</v>
      </c>
      <c r="H337" s="17">
        <v>3195</v>
      </c>
      <c r="I337" s="17">
        <v>3445</v>
      </c>
      <c r="J337" s="17">
        <v>3686</v>
      </c>
      <c r="K337" s="17">
        <v>3922</v>
      </c>
      <c r="L337" s="18">
        <v>4149</v>
      </c>
    </row>
    <row r="338" spans="2:12" ht="12.75">
      <c r="B338" s="14">
        <v>17401</v>
      </c>
      <c r="C338" s="17">
        <v>1463</v>
      </c>
      <c r="D338" s="17">
        <v>2075</v>
      </c>
      <c r="E338" s="17">
        <v>2397</v>
      </c>
      <c r="F338" s="17">
        <v>2677</v>
      </c>
      <c r="G338" s="17">
        <v>2945</v>
      </c>
      <c r="H338" s="17">
        <v>3201</v>
      </c>
      <c r="I338" s="17">
        <v>3451</v>
      </c>
      <c r="J338" s="17">
        <v>3693</v>
      </c>
      <c r="K338" s="17">
        <v>3929</v>
      </c>
      <c r="L338" s="18">
        <v>4157</v>
      </c>
    </row>
    <row r="339" spans="2:12" ht="12.75">
      <c r="B339" s="14">
        <v>17451</v>
      </c>
      <c r="C339" s="17">
        <v>1466</v>
      </c>
      <c r="D339" s="17">
        <v>2079</v>
      </c>
      <c r="E339" s="17">
        <v>2401</v>
      </c>
      <c r="F339" s="17">
        <v>2682</v>
      </c>
      <c r="G339" s="17">
        <v>2951</v>
      </c>
      <c r="H339" s="17">
        <v>3207</v>
      </c>
      <c r="I339" s="17">
        <v>3457</v>
      </c>
      <c r="J339" s="17">
        <v>3699</v>
      </c>
      <c r="K339" s="17">
        <v>3936</v>
      </c>
      <c r="L339" s="18">
        <v>4165</v>
      </c>
    </row>
    <row r="340" spans="2:12" ht="12.75">
      <c r="B340" s="14">
        <v>17501</v>
      </c>
      <c r="C340" s="17">
        <v>1469</v>
      </c>
      <c r="D340" s="17">
        <v>2083</v>
      </c>
      <c r="E340" s="17">
        <v>2406</v>
      </c>
      <c r="F340" s="17">
        <v>2687</v>
      </c>
      <c r="G340" s="17">
        <v>2956</v>
      </c>
      <c r="H340" s="17">
        <v>3213</v>
      </c>
      <c r="I340" s="17">
        <v>3464</v>
      </c>
      <c r="J340" s="17">
        <v>3706</v>
      </c>
      <c r="K340" s="17">
        <v>3943</v>
      </c>
      <c r="L340" s="18">
        <v>4172</v>
      </c>
    </row>
    <row r="341" spans="2:12" ht="12.75">
      <c r="B341" s="14">
        <v>17551</v>
      </c>
      <c r="C341" s="17">
        <v>1472</v>
      </c>
      <c r="D341" s="17">
        <v>2087</v>
      </c>
      <c r="E341" s="17">
        <v>2410</v>
      </c>
      <c r="F341" s="17">
        <v>2692</v>
      </c>
      <c r="G341" s="17">
        <v>2961</v>
      </c>
      <c r="H341" s="17">
        <v>3219</v>
      </c>
      <c r="I341" s="17">
        <v>3470</v>
      </c>
      <c r="J341" s="17">
        <v>3713</v>
      </c>
      <c r="K341" s="17">
        <v>3951</v>
      </c>
      <c r="L341" s="18">
        <v>4180</v>
      </c>
    </row>
    <row r="342" spans="2:12" ht="12.75">
      <c r="B342" s="14">
        <v>17601</v>
      </c>
      <c r="C342" s="17">
        <v>1474</v>
      </c>
      <c r="D342" s="17">
        <v>2091</v>
      </c>
      <c r="E342" s="17">
        <v>2415</v>
      </c>
      <c r="F342" s="17">
        <v>2697</v>
      </c>
      <c r="G342" s="17">
        <v>2967</v>
      </c>
      <c r="H342" s="17">
        <v>3225</v>
      </c>
      <c r="I342" s="17">
        <v>3476</v>
      </c>
      <c r="J342" s="17">
        <v>3720</v>
      </c>
      <c r="K342" s="17">
        <v>3958</v>
      </c>
      <c r="L342" s="18">
        <v>4187</v>
      </c>
    </row>
    <row r="343" spans="2:12" ht="12.75">
      <c r="B343" s="14">
        <v>17651</v>
      </c>
      <c r="C343" s="17">
        <v>1477</v>
      </c>
      <c r="D343" s="17">
        <v>2094</v>
      </c>
      <c r="E343" s="17">
        <v>2419</v>
      </c>
      <c r="F343" s="17">
        <v>2702</v>
      </c>
      <c r="G343" s="17">
        <v>2972</v>
      </c>
      <c r="H343" s="17">
        <v>3231</v>
      </c>
      <c r="I343" s="17">
        <v>3483</v>
      </c>
      <c r="J343" s="17">
        <v>3727</v>
      </c>
      <c r="K343" s="17">
        <v>3965</v>
      </c>
      <c r="L343" s="18">
        <v>4195</v>
      </c>
    </row>
    <row r="344" spans="2:12" ht="12.75">
      <c r="B344" s="14">
        <v>17701</v>
      </c>
      <c r="C344" s="17">
        <v>1480</v>
      </c>
      <c r="D344" s="17">
        <v>2098</v>
      </c>
      <c r="E344" s="17">
        <v>2423</v>
      </c>
      <c r="F344" s="17">
        <v>2707</v>
      </c>
      <c r="G344" s="17">
        <v>2978</v>
      </c>
      <c r="H344" s="17">
        <v>3237</v>
      </c>
      <c r="I344" s="17">
        <v>3489</v>
      </c>
      <c r="J344" s="17">
        <v>3733</v>
      </c>
      <c r="K344" s="17">
        <v>3972</v>
      </c>
      <c r="L344" s="18">
        <v>4203</v>
      </c>
    </row>
    <row r="345" spans="2:12" ht="12.75">
      <c r="B345" s="14">
        <v>17751</v>
      </c>
      <c r="C345" s="17">
        <v>1482</v>
      </c>
      <c r="D345" s="17">
        <v>2102</v>
      </c>
      <c r="E345" s="17">
        <v>2428</v>
      </c>
      <c r="F345" s="17">
        <v>2712</v>
      </c>
      <c r="G345" s="17">
        <v>2983</v>
      </c>
      <c r="H345" s="17">
        <v>3243</v>
      </c>
      <c r="I345" s="17">
        <v>3496</v>
      </c>
      <c r="J345" s="17">
        <v>3740</v>
      </c>
      <c r="K345" s="17">
        <v>3980</v>
      </c>
      <c r="L345" s="18">
        <v>4210</v>
      </c>
    </row>
    <row r="346" spans="2:12" ht="12.75">
      <c r="B346" s="14">
        <v>17801</v>
      </c>
      <c r="C346" s="17">
        <v>1485</v>
      </c>
      <c r="D346" s="17">
        <v>2106</v>
      </c>
      <c r="E346" s="17">
        <v>2432</v>
      </c>
      <c r="F346" s="17">
        <v>2717</v>
      </c>
      <c r="G346" s="17">
        <v>2989</v>
      </c>
      <c r="H346" s="17">
        <v>3249</v>
      </c>
      <c r="I346" s="17">
        <v>3502</v>
      </c>
      <c r="J346" s="17">
        <v>3747</v>
      </c>
      <c r="K346" s="17">
        <v>3987</v>
      </c>
      <c r="L346" s="18">
        <v>4218</v>
      </c>
    </row>
    <row r="347" spans="2:12" ht="12.75">
      <c r="B347" s="14">
        <v>17851</v>
      </c>
      <c r="C347" s="17">
        <v>1488</v>
      </c>
      <c r="D347" s="17">
        <v>2110</v>
      </c>
      <c r="E347" s="17">
        <v>2437</v>
      </c>
      <c r="F347" s="17">
        <v>2722</v>
      </c>
      <c r="G347" s="17">
        <v>2994</v>
      </c>
      <c r="H347" s="17">
        <v>3254</v>
      </c>
      <c r="I347" s="17">
        <v>3508</v>
      </c>
      <c r="J347" s="17">
        <v>3754</v>
      </c>
      <c r="K347" s="17">
        <v>3994</v>
      </c>
      <c r="L347" s="18">
        <v>4226</v>
      </c>
    </row>
    <row r="348" spans="2:12" ht="12.75">
      <c r="B348" s="14">
        <v>17901</v>
      </c>
      <c r="C348" s="17">
        <v>1490</v>
      </c>
      <c r="D348" s="17">
        <v>2114</v>
      </c>
      <c r="E348" s="17">
        <v>2441</v>
      </c>
      <c r="F348" s="17">
        <v>2727</v>
      </c>
      <c r="G348" s="17">
        <v>2999</v>
      </c>
      <c r="H348" s="17">
        <v>3260</v>
      </c>
      <c r="I348" s="17">
        <v>3515</v>
      </c>
      <c r="J348" s="17">
        <v>3761</v>
      </c>
      <c r="K348" s="17">
        <v>4001</v>
      </c>
      <c r="L348" s="18">
        <v>4233</v>
      </c>
    </row>
    <row r="349" spans="2:12" ht="12.75">
      <c r="B349" s="14">
        <v>17951</v>
      </c>
      <c r="C349" s="17">
        <v>1493</v>
      </c>
      <c r="D349" s="17">
        <v>2117</v>
      </c>
      <c r="E349" s="17">
        <v>2446</v>
      </c>
      <c r="F349" s="17">
        <v>2732</v>
      </c>
      <c r="G349" s="17">
        <v>3005</v>
      </c>
      <c r="H349" s="17">
        <v>3266</v>
      </c>
      <c r="I349" s="17">
        <v>3521</v>
      </c>
      <c r="J349" s="17">
        <v>3767</v>
      </c>
      <c r="K349" s="17">
        <v>4009</v>
      </c>
      <c r="L349" s="18">
        <v>4241</v>
      </c>
    </row>
    <row r="350" spans="2:12" ht="12.75">
      <c r="B350" s="14">
        <v>18001</v>
      </c>
      <c r="C350" s="17">
        <v>1496</v>
      </c>
      <c r="D350" s="17">
        <v>2121</v>
      </c>
      <c r="E350" s="17">
        <v>2450</v>
      </c>
      <c r="F350" s="17">
        <v>2737</v>
      </c>
      <c r="G350" s="17">
        <v>3010</v>
      </c>
      <c r="H350" s="17">
        <v>3272</v>
      </c>
      <c r="I350" s="17">
        <v>3527</v>
      </c>
      <c r="J350" s="17">
        <v>3774</v>
      </c>
      <c r="K350" s="17">
        <v>4016</v>
      </c>
      <c r="L350" s="18">
        <v>4249</v>
      </c>
    </row>
    <row r="351" spans="2:12" ht="12.75">
      <c r="B351" s="14">
        <v>18051</v>
      </c>
      <c r="C351" s="17">
        <v>1498</v>
      </c>
      <c r="D351" s="17">
        <v>2125</v>
      </c>
      <c r="E351" s="17">
        <v>2454</v>
      </c>
      <c r="F351" s="17">
        <v>2741</v>
      </c>
      <c r="G351" s="17">
        <v>3016</v>
      </c>
      <c r="H351" s="17">
        <v>3278</v>
      </c>
      <c r="I351" s="17">
        <v>3534</v>
      </c>
      <c r="J351" s="17">
        <v>3781</v>
      </c>
      <c r="K351" s="17">
        <v>4023</v>
      </c>
      <c r="L351" s="18">
        <v>4256</v>
      </c>
    </row>
    <row r="352" spans="2:12" ht="12.75">
      <c r="B352" s="14">
        <v>18101</v>
      </c>
      <c r="C352" s="17">
        <v>1501</v>
      </c>
      <c r="D352" s="17">
        <v>2129</v>
      </c>
      <c r="E352" s="17">
        <v>2459</v>
      </c>
      <c r="F352" s="17">
        <v>2746</v>
      </c>
      <c r="G352" s="17">
        <v>3021</v>
      </c>
      <c r="H352" s="17">
        <v>3284</v>
      </c>
      <c r="I352" s="17">
        <v>3540</v>
      </c>
      <c r="J352" s="17">
        <v>3788</v>
      </c>
      <c r="K352" s="17">
        <v>4030</v>
      </c>
      <c r="L352" s="18">
        <v>4264</v>
      </c>
    </row>
    <row r="353" spans="2:12" ht="12.75">
      <c r="B353" s="14">
        <v>18151</v>
      </c>
      <c r="C353" s="17">
        <v>1504</v>
      </c>
      <c r="D353" s="17">
        <v>2133</v>
      </c>
      <c r="E353" s="17">
        <v>2463</v>
      </c>
      <c r="F353" s="17">
        <v>2751</v>
      </c>
      <c r="G353" s="17">
        <v>3026</v>
      </c>
      <c r="H353" s="17">
        <v>3290</v>
      </c>
      <c r="I353" s="17">
        <v>3546</v>
      </c>
      <c r="J353" s="17">
        <v>3795</v>
      </c>
      <c r="K353" s="17">
        <v>4038</v>
      </c>
      <c r="L353" s="18">
        <v>4272</v>
      </c>
    </row>
    <row r="354" spans="2:12" ht="12.75">
      <c r="B354" s="14">
        <v>18201</v>
      </c>
      <c r="C354" s="17">
        <v>1506</v>
      </c>
      <c r="D354" s="17">
        <v>2136</v>
      </c>
      <c r="E354" s="17">
        <v>2468</v>
      </c>
      <c r="F354" s="17">
        <v>2756</v>
      </c>
      <c r="G354" s="17">
        <v>3032</v>
      </c>
      <c r="H354" s="17">
        <v>3296</v>
      </c>
      <c r="I354" s="17">
        <v>3553</v>
      </c>
      <c r="J354" s="17">
        <v>3801</v>
      </c>
      <c r="K354" s="17">
        <v>4045</v>
      </c>
      <c r="L354" s="18">
        <v>4279</v>
      </c>
    </row>
    <row r="355" spans="2:12" ht="12.75">
      <c r="B355" s="14">
        <v>18251</v>
      </c>
      <c r="C355" s="17">
        <v>1509</v>
      </c>
      <c r="D355" s="17">
        <v>2140</v>
      </c>
      <c r="E355" s="17">
        <v>2472</v>
      </c>
      <c r="F355" s="17">
        <v>2761</v>
      </c>
      <c r="G355" s="17">
        <v>3037</v>
      </c>
      <c r="H355" s="17">
        <v>3302</v>
      </c>
      <c r="I355" s="17">
        <v>3559</v>
      </c>
      <c r="J355" s="17">
        <v>3808</v>
      </c>
      <c r="K355" s="17">
        <v>4052</v>
      </c>
      <c r="L355" s="18">
        <v>4287</v>
      </c>
    </row>
    <row r="356" spans="2:12" ht="12.75">
      <c r="B356" s="14">
        <v>18301</v>
      </c>
      <c r="C356" s="17">
        <v>1512</v>
      </c>
      <c r="D356" s="17">
        <v>2144</v>
      </c>
      <c r="E356" s="17">
        <v>2476</v>
      </c>
      <c r="F356" s="17">
        <v>2766</v>
      </c>
      <c r="G356" s="17">
        <v>3043</v>
      </c>
      <c r="H356" s="17">
        <v>3307</v>
      </c>
      <c r="I356" s="17">
        <v>3565</v>
      </c>
      <c r="J356" s="17">
        <v>3815</v>
      </c>
      <c r="K356" s="17">
        <v>4059</v>
      </c>
      <c r="L356" s="18">
        <v>4295</v>
      </c>
    </row>
    <row r="357" spans="2:12" ht="12.75">
      <c r="B357" s="14">
        <v>18351</v>
      </c>
      <c r="C357" s="17">
        <v>1514</v>
      </c>
      <c r="D357" s="17">
        <v>2148</v>
      </c>
      <c r="E357" s="17">
        <v>2481</v>
      </c>
      <c r="F357" s="17">
        <v>2771</v>
      </c>
      <c r="G357" s="17">
        <v>3048</v>
      </c>
      <c r="H357" s="17">
        <v>3313</v>
      </c>
      <c r="I357" s="17">
        <v>3572</v>
      </c>
      <c r="J357" s="17">
        <v>3822</v>
      </c>
      <c r="K357" s="17">
        <v>4066</v>
      </c>
      <c r="L357" s="18">
        <v>4302</v>
      </c>
    </row>
    <row r="358" spans="2:12" ht="12.75">
      <c r="B358" s="14">
        <v>18401</v>
      </c>
      <c r="C358" s="17">
        <v>1517</v>
      </c>
      <c r="D358" s="17">
        <v>2152</v>
      </c>
      <c r="E358" s="17">
        <v>2485</v>
      </c>
      <c r="F358" s="17">
        <v>2776</v>
      </c>
      <c r="G358" s="17">
        <v>3054</v>
      </c>
      <c r="H358" s="17">
        <v>3319</v>
      </c>
      <c r="I358" s="17">
        <v>3578</v>
      </c>
      <c r="J358" s="17">
        <v>3829</v>
      </c>
      <c r="K358" s="17">
        <v>4074</v>
      </c>
      <c r="L358" s="18">
        <v>4310</v>
      </c>
    </row>
    <row r="359" spans="2:12" ht="12.75">
      <c r="B359" s="14">
        <v>18451</v>
      </c>
      <c r="C359" s="17">
        <v>1520</v>
      </c>
      <c r="D359" s="17">
        <v>2156</v>
      </c>
      <c r="E359" s="17">
        <v>2490</v>
      </c>
      <c r="F359" s="17">
        <v>2781</v>
      </c>
      <c r="G359" s="17">
        <v>3059</v>
      </c>
      <c r="H359" s="17">
        <v>3325</v>
      </c>
      <c r="I359" s="17">
        <v>3585</v>
      </c>
      <c r="J359" s="17">
        <v>3835</v>
      </c>
      <c r="K359" s="17">
        <v>4081</v>
      </c>
      <c r="L359" s="18">
        <v>4318</v>
      </c>
    </row>
    <row r="360" spans="2:12" ht="12.75">
      <c r="B360" s="14">
        <v>18501</v>
      </c>
      <c r="C360" s="17">
        <v>1523</v>
      </c>
      <c r="D360" s="17">
        <v>2159</v>
      </c>
      <c r="E360" s="17">
        <v>2494</v>
      </c>
      <c r="F360" s="17">
        <v>2786</v>
      </c>
      <c r="G360" s="17">
        <v>3064</v>
      </c>
      <c r="H360" s="17">
        <v>3331</v>
      </c>
      <c r="I360" s="17">
        <v>3591</v>
      </c>
      <c r="J360" s="17">
        <v>3842</v>
      </c>
      <c r="K360" s="17">
        <v>4088</v>
      </c>
      <c r="L360" s="18">
        <v>4325</v>
      </c>
    </row>
    <row r="361" spans="2:12" ht="12.75">
      <c r="B361" s="14">
        <v>18551</v>
      </c>
      <c r="C361" s="17">
        <v>1525</v>
      </c>
      <c r="D361" s="17">
        <v>2163</v>
      </c>
      <c r="E361" s="17">
        <v>2498</v>
      </c>
      <c r="F361" s="17">
        <v>2791</v>
      </c>
      <c r="G361" s="17">
        <v>3070</v>
      </c>
      <c r="H361" s="17">
        <v>3337</v>
      </c>
      <c r="I361" s="17">
        <v>3597</v>
      </c>
      <c r="J361" s="17">
        <v>3849</v>
      </c>
      <c r="K361" s="17">
        <v>4095</v>
      </c>
      <c r="L361" s="18">
        <v>4333</v>
      </c>
    </row>
    <row r="362" spans="2:12" ht="12.75">
      <c r="B362" s="14">
        <v>18601</v>
      </c>
      <c r="C362" s="17">
        <v>1528</v>
      </c>
      <c r="D362" s="17">
        <v>2167</v>
      </c>
      <c r="E362" s="17">
        <v>2503</v>
      </c>
      <c r="F362" s="17">
        <v>2796</v>
      </c>
      <c r="G362" s="17">
        <v>3075</v>
      </c>
      <c r="H362" s="17">
        <v>3343</v>
      </c>
      <c r="I362" s="17">
        <v>3604</v>
      </c>
      <c r="J362" s="17">
        <v>3856</v>
      </c>
      <c r="K362" s="17">
        <v>4103</v>
      </c>
      <c r="L362" s="18">
        <v>4341</v>
      </c>
    </row>
    <row r="363" spans="2:12" ht="12.75">
      <c r="B363" s="14">
        <v>18651</v>
      </c>
      <c r="C363" s="17">
        <v>1531</v>
      </c>
      <c r="D363" s="17">
        <v>2171</v>
      </c>
      <c r="E363" s="17">
        <v>2507</v>
      </c>
      <c r="F363" s="17">
        <v>2801</v>
      </c>
      <c r="G363" s="17">
        <v>3081</v>
      </c>
      <c r="H363" s="17">
        <v>3349</v>
      </c>
      <c r="I363" s="17">
        <v>3610</v>
      </c>
      <c r="J363" s="17">
        <v>3863</v>
      </c>
      <c r="K363" s="17">
        <v>4110</v>
      </c>
      <c r="L363" s="18">
        <v>4348</v>
      </c>
    </row>
    <row r="364" spans="2:12" ht="12.75">
      <c r="B364" s="14">
        <v>18701</v>
      </c>
      <c r="C364" s="17">
        <v>1533</v>
      </c>
      <c r="D364" s="17">
        <v>2175</v>
      </c>
      <c r="E364" s="17">
        <v>2512</v>
      </c>
      <c r="F364" s="17">
        <v>2806</v>
      </c>
      <c r="G364" s="17">
        <v>3086</v>
      </c>
      <c r="H364" s="17">
        <v>3355</v>
      </c>
      <c r="I364" s="17">
        <v>3616</v>
      </c>
      <c r="J364" s="17">
        <v>3869</v>
      </c>
      <c r="K364" s="17">
        <v>4117</v>
      </c>
      <c r="L364" s="18">
        <v>4356</v>
      </c>
    </row>
    <row r="365" spans="2:12" ht="12.75">
      <c r="B365" s="14">
        <v>18751</v>
      </c>
      <c r="C365" s="17">
        <v>1536</v>
      </c>
      <c r="D365" s="17">
        <v>2178</v>
      </c>
      <c r="E365" s="17">
        <v>2516</v>
      </c>
      <c r="F365" s="17">
        <v>2811</v>
      </c>
      <c r="G365" s="17">
        <v>3092</v>
      </c>
      <c r="H365" s="17">
        <v>3361</v>
      </c>
      <c r="I365" s="17">
        <v>3623</v>
      </c>
      <c r="J365" s="17">
        <v>3876</v>
      </c>
      <c r="K365" s="17">
        <v>4124</v>
      </c>
      <c r="L365" s="18">
        <v>4364</v>
      </c>
    </row>
    <row r="366" spans="2:12" ht="12.75">
      <c r="B366" s="14">
        <v>18801</v>
      </c>
      <c r="C366" s="17">
        <v>1539</v>
      </c>
      <c r="D366" s="17">
        <v>2182</v>
      </c>
      <c r="E366" s="17">
        <v>2521</v>
      </c>
      <c r="F366" s="17">
        <v>2815</v>
      </c>
      <c r="G366" s="17">
        <v>3097</v>
      </c>
      <c r="H366" s="17">
        <v>3366</v>
      </c>
      <c r="I366" s="17">
        <v>3629</v>
      </c>
      <c r="J366" s="17">
        <v>3883</v>
      </c>
      <c r="K366" s="17">
        <v>4132</v>
      </c>
      <c r="L366" s="18">
        <v>4371</v>
      </c>
    </row>
    <row r="367" spans="2:12" ht="12.75">
      <c r="B367" s="14">
        <v>18851</v>
      </c>
      <c r="C367" s="17">
        <v>1541</v>
      </c>
      <c r="D367" s="17">
        <v>2186</v>
      </c>
      <c r="E367" s="17">
        <v>2525</v>
      </c>
      <c r="F367" s="17">
        <v>2820</v>
      </c>
      <c r="G367" s="17">
        <v>3102</v>
      </c>
      <c r="H367" s="17">
        <v>3372</v>
      </c>
      <c r="I367" s="17">
        <v>3635</v>
      </c>
      <c r="J367" s="17">
        <v>3890</v>
      </c>
      <c r="K367" s="17">
        <v>4139</v>
      </c>
      <c r="L367" s="18">
        <v>4379</v>
      </c>
    </row>
    <row r="368" spans="2:12" ht="12.75">
      <c r="B368" s="14">
        <v>18901</v>
      </c>
      <c r="C368" s="17">
        <v>1544</v>
      </c>
      <c r="D368" s="17">
        <v>2190</v>
      </c>
      <c r="E368" s="17">
        <v>2529</v>
      </c>
      <c r="F368" s="17">
        <v>2825</v>
      </c>
      <c r="G368" s="17">
        <v>3108</v>
      </c>
      <c r="H368" s="17">
        <v>3378</v>
      </c>
      <c r="I368" s="17">
        <v>3642</v>
      </c>
      <c r="J368" s="17">
        <v>3897</v>
      </c>
      <c r="K368" s="17">
        <v>4146</v>
      </c>
      <c r="L368" s="18">
        <v>4386</v>
      </c>
    </row>
    <row r="369" spans="2:12" ht="12.75">
      <c r="B369" s="14">
        <v>18951</v>
      </c>
      <c r="C369" s="17">
        <v>1547</v>
      </c>
      <c r="D369" s="17">
        <v>2194</v>
      </c>
      <c r="E369" s="17">
        <v>2534</v>
      </c>
      <c r="F369" s="17">
        <v>2830</v>
      </c>
      <c r="G369" s="17">
        <v>3113</v>
      </c>
      <c r="H369" s="17">
        <v>3384</v>
      </c>
      <c r="I369" s="17">
        <v>3648</v>
      </c>
      <c r="J369" s="17">
        <v>3903</v>
      </c>
      <c r="K369" s="17">
        <v>4153</v>
      </c>
      <c r="L369" s="18">
        <v>4394</v>
      </c>
    </row>
    <row r="370" spans="2:12" ht="12.75">
      <c r="B370" s="14">
        <v>19001</v>
      </c>
      <c r="C370" s="17">
        <v>1549</v>
      </c>
      <c r="D370" s="17">
        <v>2196</v>
      </c>
      <c r="E370" s="17">
        <v>2537</v>
      </c>
      <c r="F370" s="17">
        <v>2834</v>
      </c>
      <c r="G370" s="17">
        <v>3117</v>
      </c>
      <c r="H370" s="17">
        <v>3388</v>
      </c>
      <c r="I370" s="17">
        <v>3652</v>
      </c>
      <c r="J370" s="17">
        <v>3908</v>
      </c>
      <c r="K370" s="17">
        <v>4158</v>
      </c>
      <c r="L370" s="18">
        <v>4399</v>
      </c>
    </row>
    <row r="371" spans="2:12" ht="12.75">
      <c r="B371" s="14">
        <v>19051</v>
      </c>
      <c r="C371" s="17">
        <v>1551</v>
      </c>
      <c r="D371" s="17">
        <v>2199</v>
      </c>
      <c r="E371" s="17">
        <v>2540</v>
      </c>
      <c r="F371" s="17">
        <v>2837</v>
      </c>
      <c r="G371" s="17">
        <v>3121</v>
      </c>
      <c r="H371" s="17">
        <v>3392</v>
      </c>
      <c r="I371" s="17">
        <v>3657</v>
      </c>
      <c r="J371" s="17">
        <v>3913</v>
      </c>
      <c r="K371" s="17">
        <v>4163</v>
      </c>
      <c r="L371" s="18">
        <v>4405</v>
      </c>
    </row>
    <row r="372" spans="2:12" ht="12.75">
      <c r="B372" s="14">
        <v>19101</v>
      </c>
      <c r="C372" s="17">
        <v>1553</v>
      </c>
      <c r="D372" s="17">
        <v>2202</v>
      </c>
      <c r="E372" s="17">
        <v>2543</v>
      </c>
      <c r="F372" s="17">
        <v>2840</v>
      </c>
      <c r="G372" s="17">
        <v>3125</v>
      </c>
      <c r="H372" s="17">
        <v>3396</v>
      </c>
      <c r="I372" s="17">
        <v>3661</v>
      </c>
      <c r="J372" s="17">
        <v>3918</v>
      </c>
      <c r="K372" s="17">
        <v>4168</v>
      </c>
      <c r="L372" s="18">
        <v>4410</v>
      </c>
    </row>
    <row r="373" spans="2:12" ht="12.75">
      <c r="B373" s="14">
        <v>19151</v>
      </c>
      <c r="C373" s="17">
        <v>1555</v>
      </c>
      <c r="D373" s="17">
        <v>2205</v>
      </c>
      <c r="E373" s="17">
        <v>2546</v>
      </c>
      <c r="F373" s="17">
        <v>2844</v>
      </c>
      <c r="G373" s="17">
        <v>3128</v>
      </c>
      <c r="H373" s="17">
        <v>3401</v>
      </c>
      <c r="I373" s="17">
        <v>3666</v>
      </c>
      <c r="J373" s="17">
        <v>3922</v>
      </c>
      <c r="K373" s="17">
        <v>4173</v>
      </c>
      <c r="L373" s="18">
        <v>4415</v>
      </c>
    </row>
    <row r="374" spans="2:12" ht="12.75">
      <c r="B374" s="14">
        <v>19201</v>
      </c>
      <c r="C374" s="17">
        <v>1557</v>
      </c>
      <c r="D374" s="17">
        <v>2207</v>
      </c>
      <c r="E374" s="17">
        <v>2549</v>
      </c>
      <c r="F374" s="17">
        <v>2847</v>
      </c>
      <c r="G374" s="17">
        <v>3132</v>
      </c>
      <c r="H374" s="17">
        <v>3405</v>
      </c>
      <c r="I374" s="17">
        <v>3670</v>
      </c>
      <c r="J374" s="17">
        <v>3927</v>
      </c>
      <c r="K374" s="17">
        <v>4179</v>
      </c>
      <c r="L374" s="18">
        <v>4421</v>
      </c>
    </row>
    <row r="375" spans="2:12" ht="12.75">
      <c r="B375" s="14">
        <v>19251</v>
      </c>
      <c r="C375" s="17">
        <v>1559</v>
      </c>
      <c r="D375" s="17">
        <v>2210</v>
      </c>
      <c r="E375" s="17">
        <v>2552</v>
      </c>
      <c r="F375" s="17">
        <v>2851</v>
      </c>
      <c r="G375" s="17">
        <v>3136</v>
      </c>
      <c r="H375" s="17">
        <v>3409</v>
      </c>
      <c r="I375" s="17">
        <v>3675</v>
      </c>
      <c r="J375" s="17">
        <v>3932</v>
      </c>
      <c r="K375" s="17">
        <v>4184</v>
      </c>
      <c r="L375" s="18">
        <v>4426</v>
      </c>
    </row>
    <row r="376" spans="2:12" ht="12.75">
      <c r="B376" s="14">
        <v>19301</v>
      </c>
      <c r="C376" s="17">
        <v>1561</v>
      </c>
      <c r="D376" s="17">
        <v>2213</v>
      </c>
      <c r="E376" s="17">
        <v>2555</v>
      </c>
      <c r="F376" s="17">
        <v>2854</v>
      </c>
      <c r="G376" s="17">
        <v>3140</v>
      </c>
      <c r="H376" s="17">
        <v>3413</v>
      </c>
      <c r="I376" s="17">
        <v>3679</v>
      </c>
      <c r="J376" s="17">
        <v>3937</v>
      </c>
      <c r="K376" s="17">
        <v>4189</v>
      </c>
      <c r="L376" s="18">
        <v>4432</v>
      </c>
    </row>
    <row r="377" spans="2:12" ht="12.75">
      <c r="B377" s="14">
        <v>19351</v>
      </c>
      <c r="C377" s="17">
        <v>1563</v>
      </c>
      <c r="D377" s="17">
        <v>2216</v>
      </c>
      <c r="E377" s="17">
        <v>2559</v>
      </c>
      <c r="F377" s="17">
        <v>2858</v>
      </c>
      <c r="G377" s="17">
        <v>3144</v>
      </c>
      <c r="H377" s="17">
        <v>3417</v>
      </c>
      <c r="I377" s="17">
        <v>3684</v>
      </c>
      <c r="J377" s="17">
        <v>3942</v>
      </c>
      <c r="K377" s="17">
        <v>4194</v>
      </c>
      <c r="L377" s="18">
        <v>4437</v>
      </c>
    </row>
    <row r="378" spans="2:12" ht="12.75">
      <c r="B378" s="14">
        <v>19401</v>
      </c>
      <c r="C378" s="17">
        <v>1565</v>
      </c>
      <c r="D378" s="17">
        <v>2219</v>
      </c>
      <c r="E378" s="17">
        <v>2562</v>
      </c>
      <c r="F378" s="17">
        <v>2861</v>
      </c>
      <c r="G378" s="17">
        <v>3148</v>
      </c>
      <c r="H378" s="17">
        <v>3421</v>
      </c>
      <c r="I378" s="17">
        <v>3688</v>
      </c>
      <c r="J378" s="17">
        <v>3946</v>
      </c>
      <c r="K378" s="17">
        <v>4199</v>
      </c>
      <c r="L378" s="18">
        <v>4442</v>
      </c>
    </row>
    <row r="379" spans="2:12" ht="12.75">
      <c r="B379" s="14">
        <v>19451</v>
      </c>
      <c r="C379" s="17">
        <v>1567</v>
      </c>
      <c r="D379" s="17">
        <v>2221</v>
      </c>
      <c r="E379" s="17">
        <v>2565</v>
      </c>
      <c r="F379" s="17">
        <v>2865</v>
      </c>
      <c r="G379" s="17">
        <v>3151</v>
      </c>
      <c r="H379" s="17">
        <v>3426</v>
      </c>
      <c r="I379" s="17">
        <v>3693</v>
      </c>
      <c r="J379" s="17">
        <v>3951</v>
      </c>
      <c r="K379" s="17">
        <v>4204</v>
      </c>
      <c r="L379" s="18">
        <v>4448</v>
      </c>
    </row>
    <row r="380" spans="2:12" ht="12.75">
      <c r="B380" s="14">
        <v>19501</v>
      </c>
      <c r="C380" s="17">
        <v>1569</v>
      </c>
      <c r="D380" s="17">
        <v>2224</v>
      </c>
      <c r="E380" s="17">
        <v>2568</v>
      </c>
      <c r="F380" s="17">
        <v>2868</v>
      </c>
      <c r="G380" s="17">
        <v>3155</v>
      </c>
      <c r="H380" s="17">
        <v>3430</v>
      </c>
      <c r="I380" s="17">
        <v>3697</v>
      </c>
      <c r="J380" s="17">
        <v>3956</v>
      </c>
      <c r="K380" s="17">
        <v>4209</v>
      </c>
      <c r="L380" s="18">
        <v>4453</v>
      </c>
    </row>
    <row r="381" spans="2:12" ht="12.75">
      <c r="B381" s="14">
        <v>19551</v>
      </c>
      <c r="C381" s="17">
        <v>1571</v>
      </c>
      <c r="D381" s="17">
        <v>2227</v>
      </c>
      <c r="E381" s="17">
        <v>2571</v>
      </c>
      <c r="F381" s="17">
        <v>2872</v>
      </c>
      <c r="G381" s="17">
        <v>3159</v>
      </c>
      <c r="H381" s="17">
        <v>3434</v>
      </c>
      <c r="I381" s="17">
        <v>3702</v>
      </c>
      <c r="J381" s="17">
        <v>3961</v>
      </c>
      <c r="K381" s="17">
        <v>4214</v>
      </c>
      <c r="L381" s="18">
        <v>4459</v>
      </c>
    </row>
    <row r="382" spans="2:12" ht="12.75">
      <c r="B382" s="14">
        <v>19601</v>
      </c>
      <c r="C382" s="17">
        <v>1573</v>
      </c>
      <c r="D382" s="17">
        <v>2230</v>
      </c>
      <c r="E382" s="17">
        <v>2574</v>
      </c>
      <c r="F382" s="17">
        <v>2875</v>
      </c>
      <c r="G382" s="17">
        <v>3163</v>
      </c>
      <c r="H382" s="17">
        <v>3438</v>
      </c>
      <c r="I382" s="17">
        <v>3706</v>
      </c>
      <c r="J382" s="17">
        <v>3966</v>
      </c>
      <c r="K382" s="17">
        <v>4219</v>
      </c>
      <c r="L382" s="18">
        <v>4464</v>
      </c>
    </row>
    <row r="383" spans="2:12" ht="12.75">
      <c r="B383" s="14">
        <v>19651</v>
      </c>
      <c r="C383" s="17">
        <v>1575</v>
      </c>
      <c r="D383" s="17">
        <v>2232</v>
      </c>
      <c r="E383" s="17">
        <v>2577</v>
      </c>
      <c r="F383" s="17">
        <v>2879</v>
      </c>
      <c r="G383" s="17">
        <v>3167</v>
      </c>
      <c r="H383" s="17">
        <v>3442</v>
      </c>
      <c r="I383" s="17">
        <v>3711</v>
      </c>
      <c r="J383" s="17">
        <v>3970</v>
      </c>
      <c r="K383" s="17">
        <v>4225</v>
      </c>
      <c r="L383" s="18">
        <v>4470</v>
      </c>
    </row>
    <row r="384" spans="2:12" ht="12.75">
      <c r="B384" s="14">
        <v>19701</v>
      </c>
      <c r="C384" s="17">
        <v>1577</v>
      </c>
      <c r="D384" s="17">
        <v>2235</v>
      </c>
      <c r="E384" s="17">
        <v>2580</v>
      </c>
      <c r="F384" s="17">
        <v>2882</v>
      </c>
      <c r="G384" s="17">
        <v>3170</v>
      </c>
      <c r="H384" s="17">
        <v>3446</v>
      </c>
      <c r="I384" s="17">
        <v>3715</v>
      </c>
      <c r="J384" s="17">
        <v>3975</v>
      </c>
      <c r="K384" s="17">
        <v>4230</v>
      </c>
      <c r="L384" s="18">
        <v>4475</v>
      </c>
    </row>
    <row r="385" spans="2:12" ht="12.75">
      <c r="B385" s="14">
        <v>19751</v>
      </c>
      <c r="C385" s="17">
        <v>1579</v>
      </c>
      <c r="D385" s="17">
        <v>2238</v>
      </c>
      <c r="E385" s="17">
        <v>2583</v>
      </c>
      <c r="F385" s="17">
        <v>2886</v>
      </c>
      <c r="G385" s="17">
        <v>3174</v>
      </c>
      <c r="H385" s="17">
        <v>3450</v>
      </c>
      <c r="I385" s="17">
        <v>3720</v>
      </c>
      <c r="J385" s="17">
        <v>3980</v>
      </c>
      <c r="K385" s="17">
        <v>4235</v>
      </c>
      <c r="L385" s="18">
        <v>4480</v>
      </c>
    </row>
    <row r="386" spans="2:12" ht="12.75">
      <c r="B386" s="14">
        <v>19801</v>
      </c>
      <c r="C386" s="17">
        <v>1581</v>
      </c>
      <c r="D386" s="17">
        <v>2241</v>
      </c>
      <c r="E386" s="17">
        <v>2587</v>
      </c>
      <c r="F386" s="17">
        <v>2889</v>
      </c>
      <c r="G386" s="17">
        <v>3178</v>
      </c>
      <c r="H386" s="17">
        <v>3455</v>
      </c>
      <c r="I386" s="17">
        <v>3724</v>
      </c>
      <c r="J386" s="17">
        <v>3985</v>
      </c>
      <c r="K386" s="17">
        <v>4240</v>
      </c>
      <c r="L386" s="18">
        <v>4486</v>
      </c>
    </row>
    <row r="387" spans="2:12" ht="12.75">
      <c r="B387" s="14">
        <v>19851</v>
      </c>
      <c r="C387" s="17">
        <v>1583</v>
      </c>
      <c r="D387" s="17">
        <v>2243</v>
      </c>
      <c r="E387" s="17">
        <v>2590</v>
      </c>
      <c r="F387" s="17">
        <v>2893</v>
      </c>
      <c r="G387" s="17">
        <v>3182</v>
      </c>
      <c r="H387" s="17">
        <v>3459</v>
      </c>
      <c r="I387" s="17">
        <v>3729</v>
      </c>
      <c r="J387" s="17">
        <v>3990</v>
      </c>
      <c r="K387" s="17">
        <v>4245</v>
      </c>
      <c r="L387" s="18">
        <v>4491</v>
      </c>
    </row>
    <row r="388" spans="2:12" ht="12.75">
      <c r="B388" s="14">
        <v>19901</v>
      </c>
      <c r="C388" s="17">
        <v>1585</v>
      </c>
      <c r="D388" s="17">
        <v>2246</v>
      </c>
      <c r="E388" s="17">
        <v>2593</v>
      </c>
      <c r="F388" s="17">
        <v>2896</v>
      </c>
      <c r="G388" s="17">
        <v>3186</v>
      </c>
      <c r="H388" s="17">
        <v>3463</v>
      </c>
      <c r="I388" s="17">
        <v>3733</v>
      </c>
      <c r="J388" s="17">
        <v>3994</v>
      </c>
      <c r="K388" s="17">
        <v>4250</v>
      </c>
      <c r="L388" s="18">
        <v>4497</v>
      </c>
    </row>
    <row r="389" spans="2:12" ht="12.75">
      <c r="B389" s="14">
        <v>19951</v>
      </c>
      <c r="C389" s="17">
        <v>1587</v>
      </c>
      <c r="D389" s="17">
        <v>2249</v>
      </c>
      <c r="E389" s="17">
        <v>2596</v>
      </c>
      <c r="F389" s="17">
        <v>2900</v>
      </c>
      <c r="G389" s="17">
        <v>3190</v>
      </c>
      <c r="H389" s="17">
        <v>3467</v>
      </c>
      <c r="I389" s="17">
        <v>3738</v>
      </c>
      <c r="J389" s="17">
        <v>3999</v>
      </c>
      <c r="K389" s="17">
        <v>4255</v>
      </c>
      <c r="L389" s="18">
        <v>4502</v>
      </c>
    </row>
    <row r="390" spans="2:12" ht="12.75">
      <c r="B390" s="14">
        <v>20001</v>
      </c>
      <c r="C390" s="17">
        <v>1589</v>
      </c>
      <c r="D390" s="17">
        <v>2252</v>
      </c>
      <c r="E390" s="17">
        <v>2599</v>
      </c>
      <c r="F390" s="17">
        <v>2903</v>
      </c>
      <c r="G390" s="17">
        <v>3193</v>
      </c>
      <c r="H390" s="17">
        <v>3471</v>
      </c>
      <c r="I390" s="17">
        <v>3742</v>
      </c>
      <c r="J390" s="17">
        <v>4004</v>
      </c>
      <c r="K390" s="17">
        <v>4260</v>
      </c>
      <c r="L390" s="18">
        <v>4507</v>
      </c>
    </row>
    <row r="391" spans="2:12" ht="12.75">
      <c r="B391" s="14">
        <v>20051</v>
      </c>
      <c r="C391" s="17">
        <v>1591</v>
      </c>
      <c r="D391" s="17">
        <v>2255</v>
      </c>
      <c r="E391" s="17">
        <v>2602</v>
      </c>
      <c r="F391" s="17">
        <v>2907</v>
      </c>
      <c r="G391" s="17">
        <v>3197</v>
      </c>
      <c r="H391" s="17">
        <v>3475</v>
      </c>
      <c r="I391" s="17">
        <v>3747</v>
      </c>
      <c r="J391" s="17">
        <v>4009</v>
      </c>
      <c r="K391" s="17">
        <v>4265</v>
      </c>
      <c r="L391" s="18">
        <v>4513</v>
      </c>
    </row>
    <row r="392" spans="2:12" ht="12.75">
      <c r="B392" s="14">
        <v>20101</v>
      </c>
      <c r="C392" s="17">
        <v>1593</v>
      </c>
      <c r="D392" s="17">
        <v>2257</v>
      </c>
      <c r="E392" s="17">
        <v>2605</v>
      </c>
      <c r="F392" s="17">
        <v>2910</v>
      </c>
      <c r="G392" s="17">
        <v>3201</v>
      </c>
      <c r="H392" s="17">
        <v>3480</v>
      </c>
      <c r="I392" s="17">
        <v>3751</v>
      </c>
      <c r="J392" s="17">
        <v>4014</v>
      </c>
      <c r="K392" s="17">
        <v>4270</v>
      </c>
      <c r="L392" s="18">
        <v>4518</v>
      </c>
    </row>
    <row r="393" spans="2:12" ht="12.75">
      <c r="B393" s="14">
        <v>20151</v>
      </c>
      <c r="C393" s="17">
        <v>1595</v>
      </c>
      <c r="D393" s="17">
        <v>2260</v>
      </c>
      <c r="E393" s="17">
        <v>2608</v>
      </c>
      <c r="F393" s="17">
        <v>2914</v>
      </c>
      <c r="G393" s="17">
        <v>3205</v>
      </c>
      <c r="H393" s="17">
        <v>3484</v>
      </c>
      <c r="I393" s="17">
        <v>3756</v>
      </c>
      <c r="J393" s="17">
        <v>4018</v>
      </c>
      <c r="K393" s="17">
        <v>4276</v>
      </c>
      <c r="L393" s="18">
        <v>4524</v>
      </c>
    </row>
    <row r="394" spans="2:12" ht="12.75">
      <c r="B394" s="14">
        <v>20201</v>
      </c>
      <c r="C394" s="17">
        <v>1597</v>
      </c>
      <c r="D394" s="17">
        <v>2263</v>
      </c>
      <c r="E394" s="17">
        <v>2612</v>
      </c>
      <c r="F394" s="17">
        <v>2917</v>
      </c>
      <c r="G394" s="17">
        <v>3209</v>
      </c>
      <c r="H394" s="17">
        <v>3488</v>
      </c>
      <c r="I394" s="17">
        <v>3760</v>
      </c>
      <c r="J394" s="17">
        <v>4023</v>
      </c>
      <c r="K394" s="17">
        <v>4281</v>
      </c>
      <c r="L394" s="18">
        <v>4529</v>
      </c>
    </row>
    <row r="395" spans="2:12" ht="12.75">
      <c r="B395" s="14">
        <v>20251</v>
      </c>
      <c r="C395" s="17">
        <v>1599</v>
      </c>
      <c r="D395" s="17">
        <v>2266</v>
      </c>
      <c r="E395" s="17">
        <v>2615</v>
      </c>
      <c r="F395" s="17">
        <v>2921</v>
      </c>
      <c r="G395" s="17">
        <v>3213</v>
      </c>
      <c r="H395" s="17">
        <v>3492</v>
      </c>
      <c r="I395" s="17">
        <v>3765</v>
      </c>
      <c r="J395" s="17">
        <v>4028</v>
      </c>
      <c r="K395" s="17">
        <v>4286</v>
      </c>
      <c r="L395" s="18">
        <v>4534</v>
      </c>
    </row>
    <row r="396" spans="2:12" ht="12.75">
      <c r="B396" s="14">
        <v>20301</v>
      </c>
      <c r="C396" s="17">
        <v>1601</v>
      </c>
      <c r="D396" s="17">
        <v>2268</v>
      </c>
      <c r="E396" s="17">
        <v>2618</v>
      </c>
      <c r="F396" s="17">
        <v>2924</v>
      </c>
      <c r="G396" s="17">
        <v>3216</v>
      </c>
      <c r="H396" s="17">
        <v>3496</v>
      </c>
      <c r="I396" s="17">
        <v>3769</v>
      </c>
      <c r="J396" s="17">
        <v>4033</v>
      </c>
      <c r="K396" s="17">
        <v>4291</v>
      </c>
      <c r="L396" s="18">
        <v>4540</v>
      </c>
    </row>
    <row r="397" spans="2:12" ht="12.75">
      <c r="B397" s="14">
        <v>20351</v>
      </c>
      <c r="C397" s="17">
        <v>1603</v>
      </c>
      <c r="D397" s="17">
        <v>2271</v>
      </c>
      <c r="E397" s="17">
        <v>2621</v>
      </c>
      <c r="F397" s="17">
        <v>2928</v>
      </c>
      <c r="G397" s="17">
        <v>3220</v>
      </c>
      <c r="H397" s="17">
        <v>3500</v>
      </c>
      <c r="I397" s="17">
        <v>3773</v>
      </c>
      <c r="J397" s="17">
        <v>4038</v>
      </c>
      <c r="K397" s="17">
        <v>4296</v>
      </c>
      <c r="L397" s="18">
        <v>4545</v>
      </c>
    </row>
    <row r="398" spans="2:12" ht="12.75">
      <c r="B398" s="14">
        <v>20401</v>
      </c>
      <c r="C398" s="17">
        <v>1605</v>
      </c>
      <c r="D398" s="17">
        <v>2274</v>
      </c>
      <c r="E398" s="17">
        <v>2624</v>
      </c>
      <c r="F398" s="17">
        <v>2931</v>
      </c>
      <c r="G398" s="17">
        <v>3224</v>
      </c>
      <c r="H398" s="17">
        <v>3505</v>
      </c>
      <c r="I398" s="17">
        <v>3778</v>
      </c>
      <c r="J398" s="17">
        <v>4042</v>
      </c>
      <c r="K398" s="17">
        <v>4301</v>
      </c>
      <c r="L398" s="18">
        <v>4551</v>
      </c>
    </row>
    <row r="399" spans="2:12" ht="12.75">
      <c r="B399" s="14">
        <v>20451</v>
      </c>
      <c r="C399" s="17">
        <v>1607</v>
      </c>
      <c r="D399" s="17">
        <v>2277</v>
      </c>
      <c r="E399" s="17">
        <v>2627</v>
      </c>
      <c r="F399" s="17">
        <v>2934</v>
      </c>
      <c r="G399" s="17">
        <v>3228</v>
      </c>
      <c r="H399" s="17">
        <v>3509</v>
      </c>
      <c r="I399" s="17">
        <v>3782</v>
      </c>
      <c r="J399" s="17">
        <v>4047</v>
      </c>
      <c r="K399" s="17">
        <v>4306</v>
      </c>
      <c r="L399" s="18">
        <v>4556</v>
      </c>
    </row>
    <row r="400" spans="2:12" ht="12.75">
      <c r="B400" s="14">
        <v>20501</v>
      </c>
      <c r="C400" s="17">
        <v>1609</v>
      </c>
      <c r="D400" s="17">
        <v>2280</v>
      </c>
      <c r="E400" s="17">
        <v>2630</v>
      </c>
      <c r="F400" s="17">
        <v>2938</v>
      </c>
      <c r="G400" s="17">
        <v>3232</v>
      </c>
      <c r="H400" s="17">
        <v>3513</v>
      </c>
      <c r="I400" s="17">
        <v>3787</v>
      </c>
      <c r="J400" s="17">
        <v>4052</v>
      </c>
      <c r="K400" s="17">
        <v>4311</v>
      </c>
      <c r="L400" s="18">
        <v>4561</v>
      </c>
    </row>
    <row r="401" spans="2:12" ht="12.75">
      <c r="B401" s="14">
        <v>20551</v>
      </c>
      <c r="C401" s="17">
        <v>1611</v>
      </c>
      <c r="D401" s="17">
        <v>2282</v>
      </c>
      <c r="E401" s="17">
        <v>2633</v>
      </c>
      <c r="F401" s="17">
        <v>2941</v>
      </c>
      <c r="G401" s="17">
        <v>3236</v>
      </c>
      <c r="H401" s="17">
        <v>3517</v>
      </c>
      <c r="I401" s="17">
        <v>3791</v>
      </c>
      <c r="J401" s="17">
        <v>4057</v>
      </c>
      <c r="K401" s="17">
        <v>4316</v>
      </c>
      <c r="L401" s="18">
        <v>4567</v>
      </c>
    </row>
    <row r="402" spans="2:12" ht="12.75">
      <c r="B402" s="14">
        <v>20601</v>
      </c>
      <c r="C402" s="17">
        <v>1613</v>
      </c>
      <c r="D402" s="17">
        <v>2285</v>
      </c>
      <c r="E402" s="17">
        <v>2636</v>
      </c>
      <c r="F402" s="17">
        <v>2945</v>
      </c>
      <c r="G402" s="17">
        <v>3239</v>
      </c>
      <c r="H402" s="17">
        <v>3521</v>
      </c>
      <c r="I402" s="17">
        <v>3796</v>
      </c>
      <c r="J402" s="17">
        <v>4062</v>
      </c>
      <c r="K402" s="17">
        <v>4322</v>
      </c>
      <c r="L402" s="18">
        <v>4572</v>
      </c>
    </row>
    <row r="403" spans="2:12" ht="12.75">
      <c r="B403" s="14">
        <v>20651</v>
      </c>
      <c r="C403" s="17">
        <v>1615</v>
      </c>
      <c r="D403" s="17">
        <v>2288</v>
      </c>
      <c r="E403" s="17">
        <v>2640</v>
      </c>
      <c r="F403" s="17">
        <v>2948</v>
      </c>
      <c r="G403" s="17">
        <v>3243</v>
      </c>
      <c r="H403" s="17">
        <v>3525</v>
      </c>
      <c r="I403" s="17">
        <v>3800</v>
      </c>
      <c r="J403" s="17">
        <v>4066</v>
      </c>
      <c r="K403" s="17">
        <v>4327</v>
      </c>
      <c r="L403" s="18">
        <v>4578</v>
      </c>
    </row>
    <row r="404" spans="2:12" ht="12.75">
      <c r="B404" s="14">
        <v>20701</v>
      </c>
      <c r="C404" s="17">
        <v>1617</v>
      </c>
      <c r="D404" s="17">
        <v>2291</v>
      </c>
      <c r="E404" s="17">
        <v>2643</v>
      </c>
      <c r="F404" s="17">
        <v>2952</v>
      </c>
      <c r="G404" s="17">
        <v>3247</v>
      </c>
      <c r="H404" s="17">
        <v>3530</v>
      </c>
      <c r="I404" s="17">
        <v>3805</v>
      </c>
      <c r="J404" s="17">
        <v>4071</v>
      </c>
      <c r="K404" s="17">
        <v>4332</v>
      </c>
      <c r="L404" s="18">
        <v>4583</v>
      </c>
    </row>
    <row r="405" spans="2:12" ht="12.75">
      <c r="B405" s="14">
        <v>20751</v>
      </c>
      <c r="C405" s="17">
        <v>1619</v>
      </c>
      <c r="D405" s="17">
        <v>2293</v>
      </c>
      <c r="E405" s="17">
        <v>2646</v>
      </c>
      <c r="F405" s="17">
        <v>2955</v>
      </c>
      <c r="G405" s="17">
        <v>3251</v>
      </c>
      <c r="H405" s="17">
        <v>3534</v>
      </c>
      <c r="I405" s="17">
        <v>3809</v>
      </c>
      <c r="J405" s="17">
        <v>4076</v>
      </c>
      <c r="K405" s="17">
        <v>4337</v>
      </c>
      <c r="L405" s="18">
        <v>4588</v>
      </c>
    </row>
    <row r="406" spans="2:12" ht="12.75">
      <c r="B406" s="14">
        <v>20801</v>
      </c>
      <c r="C406" s="17">
        <v>1621</v>
      </c>
      <c r="D406" s="17">
        <v>2296</v>
      </c>
      <c r="E406" s="17">
        <v>2649</v>
      </c>
      <c r="F406" s="17">
        <v>2959</v>
      </c>
      <c r="G406" s="17">
        <v>3255</v>
      </c>
      <c r="H406" s="17">
        <v>3538</v>
      </c>
      <c r="I406" s="17">
        <v>3814</v>
      </c>
      <c r="J406" s="17">
        <v>4081</v>
      </c>
      <c r="K406" s="17">
        <v>4342</v>
      </c>
      <c r="L406" s="18">
        <v>4594</v>
      </c>
    </row>
    <row r="407" spans="2:12" ht="12.75">
      <c r="B407" s="14">
        <v>20851</v>
      </c>
      <c r="C407" s="17">
        <v>1623</v>
      </c>
      <c r="D407" s="17">
        <v>2299</v>
      </c>
      <c r="E407" s="17">
        <v>2652</v>
      </c>
      <c r="F407" s="17">
        <v>2962</v>
      </c>
      <c r="G407" s="17">
        <v>3259</v>
      </c>
      <c r="H407" s="17">
        <v>3542</v>
      </c>
      <c r="I407" s="17">
        <v>3818</v>
      </c>
      <c r="J407" s="17">
        <v>4086</v>
      </c>
      <c r="K407" s="17">
        <v>4347</v>
      </c>
      <c r="L407" s="18">
        <v>4599</v>
      </c>
    </row>
    <row r="408" spans="2:12" ht="12.75">
      <c r="B408" s="14">
        <v>20901</v>
      </c>
      <c r="C408" s="17">
        <v>1625</v>
      </c>
      <c r="D408" s="17">
        <v>2302</v>
      </c>
      <c r="E408" s="17">
        <v>2655</v>
      </c>
      <c r="F408" s="17">
        <v>2966</v>
      </c>
      <c r="G408" s="17">
        <v>3262</v>
      </c>
      <c r="H408" s="17">
        <v>3546</v>
      </c>
      <c r="I408" s="17">
        <v>3823</v>
      </c>
      <c r="J408" s="17">
        <v>4090</v>
      </c>
      <c r="K408" s="17">
        <v>4352</v>
      </c>
      <c r="L408" s="18">
        <v>4605</v>
      </c>
    </row>
    <row r="409" spans="2:12" ht="12.75">
      <c r="B409" s="14">
        <v>20951</v>
      </c>
      <c r="C409" s="17">
        <v>1627</v>
      </c>
      <c r="D409" s="17">
        <v>2305</v>
      </c>
      <c r="E409" s="17">
        <v>2658</v>
      </c>
      <c r="F409" s="17">
        <v>2969</v>
      </c>
      <c r="G409" s="17">
        <v>3266</v>
      </c>
      <c r="H409" s="17">
        <v>3550</v>
      </c>
      <c r="I409" s="17">
        <v>3827</v>
      </c>
      <c r="J409" s="17">
        <v>4095</v>
      </c>
      <c r="K409" s="17">
        <v>4357</v>
      </c>
      <c r="L409" s="18">
        <v>4610</v>
      </c>
    </row>
    <row r="410" spans="2:12" ht="12.75">
      <c r="B410" s="14">
        <v>21001</v>
      </c>
      <c r="C410" s="17">
        <v>1629</v>
      </c>
      <c r="D410" s="17">
        <v>2307</v>
      </c>
      <c r="E410" s="17">
        <v>2661</v>
      </c>
      <c r="F410" s="17">
        <v>2973</v>
      </c>
      <c r="G410" s="17">
        <v>3270</v>
      </c>
      <c r="H410" s="17">
        <v>3555</v>
      </c>
      <c r="I410" s="17">
        <v>3832</v>
      </c>
      <c r="J410" s="17">
        <v>4100</v>
      </c>
      <c r="K410" s="17">
        <v>4362</v>
      </c>
      <c r="L410" s="18">
        <v>4615</v>
      </c>
    </row>
    <row r="411" spans="2:12" ht="12.75">
      <c r="B411" s="14">
        <v>21051</v>
      </c>
      <c r="C411" s="17">
        <v>1631</v>
      </c>
      <c r="D411" s="17">
        <v>2310</v>
      </c>
      <c r="E411" s="17">
        <v>2665</v>
      </c>
      <c r="F411" s="17">
        <v>2976</v>
      </c>
      <c r="G411" s="17">
        <v>3274</v>
      </c>
      <c r="H411" s="17">
        <v>3559</v>
      </c>
      <c r="I411" s="17">
        <v>3836</v>
      </c>
      <c r="J411" s="17">
        <v>4105</v>
      </c>
      <c r="K411" s="17">
        <v>4368</v>
      </c>
      <c r="L411" s="18">
        <v>4621</v>
      </c>
    </row>
    <row r="412" spans="2:12" ht="12.75">
      <c r="B412" s="14">
        <v>21101</v>
      </c>
      <c r="C412" s="17">
        <v>1633</v>
      </c>
      <c r="D412" s="17">
        <v>2313</v>
      </c>
      <c r="E412" s="17">
        <v>2668</v>
      </c>
      <c r="F412" s="17">
        <v>2980</v>
      </c>
      <c r="G412" s="17">
        <v>3278</v>
      </c>
      <c r="H412" s="17">
        <v>3563</v>
      </c>
      <c r="I412" s="17">
        <v>3841</v>
      </c>
      <c r="J412" s="17">
        <v>4110</v>
      </c>
      <c r="K412" s="17">
        <v>4373</v>
      </c>
      <c r="L412" s="18">
        <v>4626</v>
      </c>
    </row>
    <row r="413" spans="2:12" ht="12.75">
      <c r="B413" s="14">
        <v>21151</v>
      </c>
      <c r="C413" s="17">
        <v>1635</v>
      </c>
      <c r="D413" s="17">
        <v>2316</v>
      </c>
      <c r="E413" s="17">
        <v>2671</v>
      </c>
      <c r="F413" s="17">
        <v>2983</v>
      </c>
      <c r="G413" s="17">
        <v>3282</v>
      </c>
      <c r="H413" s="17">
        <v>3567</v>
      </c>
      <c r="I413" s="17">
        <v>3845</v>
      </c>
      <c r="J413" s="17">
        <v>4114</v>
      </c>
      <c r="K413" s="17">
        <v>4378</v>
      </c>
      <c r="L413" s="18">
        <v>4632</v>
      </c>
    </row>
    <row r="414" spans="2:12" ht="12.75">
      <c r="B414" s="14">
        <v>21201</v>
      </c>
      <c r="C414" s="17">
        <v>1637</v>
      </c>
      <c r="D414" s="17">
        <v>2318</v>
      </c>
      <c r="E414" s="17">
        <v>2674</v>
      </c>
      <c r="F414" s="17">
        <v>2987</v>
      </c>
      <c r="G414" s="17">
        <v>3285</v>
      </c>
      <c r="H414" s="17">
        <v>3571</v>
      </c>
      <c r="I414" s="17">
        <v>3850</v>
      </c>
      <c r="J414" s="17">
        <v>4119</v>
      </c>
      <c r="K414" s="17">
        <v>4383</v>
      </c>
      <c r="L414" s="18">
        <v>4637</v>
      </c>
    </row>
    <row r="415" spans="2:12" ht="12.75">
      <c r="B415" s="14">
        <v>21251</v>
      </c>
      <c r="C415" s="17">
        <v>1639</v>
      </c>
      <c r="D415" s="17">
        <v>2321</v>
      </c>
      <c r="E415" s="17">
        <v>2677</v>
      </c>
      <c r="F415" s="17">
        <v>2990</v>
      </c>
      <c r="G415" s="17">
        <v>3289</v>
      </c>
      <c r="H415" s="17">
        <v>3575</v>
      </c>
      <c r="I415" s="17">
        <v>3854</v>
      </c>
      <c r="J415" s="17">
        <v>4124</v>
      </c>
      <c r="K415" s="17">
        <v>4388</v>
      </c>
      <c r="L415" s="18">
        <v>4643</v>
      </c>
    </row>
    <row r="416" spans="2:12" ht="12.75">
      <c r="B416" s="14">
        <v>21301</v>
      </c>
      <c r="C416" s="17">
        <v>1641</v>
      </c>
      <c r="D416" s="17">
        <v>2324</v>
      </c>
      <c r="E416" s="17">
        <v>2680</v>
      </c>
      <c r="F416" s="17">
        <v>2994</v>
      </c>
      <c r="G416" s="17">
        <v>3293</v>
      </c>
      <c r="H416" s="17">
        <v>3580</v>
      </c>
      <c r="I416" s="17">
        <v>3859</v>
      </c>
      <c r="J416" s="17">
        <v>4129</v>
      </c>
      <c r="K416" s="17">
        <v>4393</v>
      </c>
      <c r="L416" s="18">
        <v>4648</v>
      </c>
    </row>
    <row r="417" spans="2:12" ht="12.75">
      <c r="B417" s="14">
        <v>21351</v>
      </c>
      <c r="C417" s="17">
        <v>1643</v>
      </c>
      <c r="D417" s="17">
        <v>2327</v>
      </c>
      <c r="E417" s="17">
        <v>2683</v>
      </c>
      <c r="F417" s="17">
        <v>2997</v>
      </c>
      <c r="G417" s="17">
        <v>3297</v>
      </c>
      <c r="H417" s="17">
        <v>3584</v>
      </c>
      <c r="I417" s="17">
        <v>3863</v>
      </c>
      <c r="J417" s="17">
        <v>4134</v>
      </c>
      <c r="K417" s="17">
        <v>4398</v>
      </c>
      <c r="L417" s="18">
        <v>4653</v>
      </c>
    </row>
    <row r="418" spans="2:12" ht="12.75">
      <c r="B418" s="14">
        <v>21401</v>
      </c>
      <c r="C418" s="17">
        <v>1645</v>
      </c>
      <c r="D418" s="17">
        <v>2329</v>
      </c>
      <c r="E418" s="17">
        <v>2686</v>
      </c>
      <c r="F418" s="17">
        <v>3001</v>
      </c>
      <c r="G418" s="17">
        <v>3301</v>
      </c>
      <c r="H418" s="17">
        <v>3588</v>
      </c>
      <c r="I418" s="17">
        <v>3868</v>
      </c>
      <c r="J418" s="17">
        <v>4138</v>
      </c>
      <c r="K418" s="17">
        <v>4403</v>
      </c>
      <c r="L418" s="18">
        <v>4659</v>
      </c>
    </row>
    <row r="419" spans="2:12" ht="12.75">
      <c r="B419" s="14">
        <v>21451</v>
      </c>
      <c r="C419" s="17">
        <v>1647</v>
      </c>
      <c r="D419" s="17">
        <v>2332</v>
      </c>
      <c r="E419" s="17">
        <v>2689</v>
      </c>
      <c r="F419" s="17">
        <v>3004</v>
      </c>
      <c r="G419" s="17">
        <v>3305</v>
      </c>
      <c r="H419" s="17">
        <v>3592</v>
      </c>
      <c r="I419" s="17">
        <v>3872</v>
      </c>
      <c r="J419" s="17">
        <v>4143</v>
      </c>
      <c r="K419" s="17">
        <v>4408</v>
      </c>
      <c r="L419" s="18">
        <v>4664</v>
      </c>
    </row>
    <row r="420" spans="2:12" ht="12.75">
      <c r="B420" s="14">
        <v>21501</v>
      </c>
      <c r="C420" s="17">
        <v>1649</v>
      </c>
      <c r="D420" s="17">
        <v>2335</v>
      </c>
      <c r="E420" s="17">
        <v>2693</v>
      </c>
      <c r="F420" s="17">
        <v>3008</v>
      </c>
      <c r="G420" s="17">
        <v>3308</v>
      </c>
      <c r="H420" s="17">
        <v>3596</v>
      </c>
      <c r="I420" s="17">
        <v>3877</v>
      </c>
      <c r="J420" s="17">
        <v>4148</v>
      </c>
      <c r="K420" s="17">
        <v>4414</v>
      </c>
      <c r="L420" s="18">
        <v>4670</v>
      </c>
    </row>
    <row r="421" spans="2:12" ht="12.75">
      <c r="B421" s="14">
        <v>21551</v>
      </c>
      <c r="C421" s="17">
        <v>1651</v>
      </c>
      <c r="D421" s="17">
        <v>2338</v>
      </c>
      <c r="E421" s="17">
        <v>2696</v>
      </c>
      <c r="F421" s="17">
        <v>3011</v>
      </c>
      <c r="G421" s="17">
        <v>3312</v>
      </c>
      <c r="H421" s="17">
        <v>3600</v>
      </c>
      <c r="I421" s="17">
        <v>3881</v>
      </c>
      <c r="J421" s="17">
        <v>4153</v>
      </c>
      <c r="K421" s="17">
        <v>4419</v>
      </c>
      <c r="L421" s="18">
        <v>4675</v>
      </c>
    </row>
    <row r="422" spans="2:12" ht="12.75">
      <c r="B422" s="14">
        <v>21601</v>
      </c>
      <c r="C422" s="17">
        <v>1653</v>
      </c>
      <c r="D422" s="17">
        <v>2341</v>
      </c>
      <c r="E422" s="17">
        <v>2699</v>
      </c>
      <c r="F422" s="17">
        <v>3015</v>
      </c>
      <c r="G422" s="17">
        <v>3316</v>
      </c>
      <c r="H422" s="17">
        <v>3605</v>
      </c>
      <c r="I422" s="17">
        <v>3886</v>
      </c>
      <c r="J422" s="17">
        <v>4158</v>
      </c>
      <c r="K422" s="17">
        <v>4424</v>
      </c>
      <c r="L422" s="18">
        <v>4680</v>
      </c>
    </row>
    <row r="423" spans="2:12" ht="12.75">
      <c r="B423" s="14">
        <v>21651</v>
      </c>
      <c r="C423" s="17">
        <v>1655</v>
      </c>
      <c r="D423" s="17">
        <v>2343</v>
      </c>
      <c r="E423" s="17">
        <v>2702</v>
      </c>
      <c r="F423" s="17">
        <v>3018</v>
      </c>
      <c r="G423" s="17">
        <v>3320</v>
      </c>
      <c r="H423" s="17">
        <v>3609</v>
      </c>
      <c r="I423" s="17">
        <v>3890</v>
      </c>
      <c r="J423" s="17">
        <v>4162</v>
      </c>
      <c r="K423" s="17">
        <v>4429</v>
      </c>
      <c r="L423" s="18">
        <v>4686</v>
      </c>
    </row>
    <row r="424" spans="2:12" ht="12.75">
      <c r="B424" s="14">
        <v>21701</v>
      </c>
      <c r="C424" s="17">
        <v>1657</v>
      </c>
      <c r="D424" s="17">
        <v>2346</v>
      </c>
      <c r="E424" s="17">
        <v>2705</v>
      </c>
      <c r="F424" s="17">
        <v>3022</v>
      </c>
      <c r="G424" s="17">
        <v>3324</v>
      </c>
      <c r="H424" s="17">
        <v>3613</v>
      </c>
      <c r="I424" s="17">
        <v>3895</v>
      </c>
      <c r="J424" s="17">
        <v>4167</v>
      </c>
      <c r="K424" s="17">
        <v>4434</v>
      </c>
      <c r="L424" s="18">
        <v>4691</v>
      </c>
    </row>
    <row r="425" spans="2:12" ht="12.75">
      <c r="B425" s="14">
        <v>21751</v>
      </c>
      <c r="C425" s="17">
        <v>1659</v>
      </c>
      <c r="D425" s="17">
        <v>2349</v>
      </c>
      <c r="E425" s="17">
        <v>2708</v>
      </c>
      <c r="F425" s="17">
        <v>3025</v>
      </c>
      <c r="G425" s="17">
        <v>3328</v>
      </c>
      <c r="H425" s="17">
        <v>3617</v>
      </c>
      <c r="I425" s="17">
        <v>3899</v>
      </c>
      <c r="J425" s="17">
        <v>4172</v>
      </c>
      <c r="K425" s="17">
        <v>4439</v>
      </c>
      <c r="L425" s="18">
        <v>4697</v>
      </c>
    </row>
    <row r="426" spans="2:12" ht="12.75">
      <c r="B426" s="14">
        <v>21801</v>
      </c>
      <c r="C426" s="17">
        <v>1661</v>
      </c>
      <c r="D426" s="17">
        <v>2352</v>
      </c>
      <c r="E426" s="17">
        <v>2711</v>
      </c>
      <c r="F426" s="17">
        <v>3029</v>
      </c>
      <c r="G426" s="17">
        <v>3331</v>
      </c>
      <c r="H426" s="17">
        <v>3621</v>
      </c>
      <c r="I426" s="17">
        <v>3904</v>
      </c>
      <c r="J426" s="17">
        <v>4177</v>
      </c>
      <c r="K426" s="17">
        <v>4444</v>
      </c>
      <c r="L426" s="18">
        <v>4702</v>
      </c>
    </row>
    <row r="427" spans="2:12" ht="12.75">
      <c r="B427" s="14">
        <v>21851</v>
      </c>
      <c r="C427" s="17">
        <v>1663</v>
      </c>
      <c r="D427" s="17">
        <v>2354</v>
      </c>
      <c r="E427" s="17">
        <v>2714</v>
      </c>
      <c r="F427" s="17">
        <v>3032</v>
      </c>
      <c r="G427" s="17">
        <v>3335</v>
      </c>
      <c r="H427" s="17">
        <v>3625</v>
      </c>
      <c r="I427" s="17">
        <v>3908</v>
      </c>
      <c r="J427" s="17">
        <v>4182</v>
      </c>
      <c r="K427" s="17">
        <v>4449</v>
      </c>
      <c r="L427" s="18">
        <v>4707</v>
      </c>
    </row>
    <row r="428" spans="2:12" ht="12.75">
      <c r="B428" s="14">
        <v>21901</v>
      </c>
      <c r="C428" s="17">
        <v>1665</v>
      </c>
      <c r="D428" s="17">
        <v>2357</v>
      </c>
      <c r="E428" s="17">
        <v>2718</v>
      </c>
      <c r="F428" s="17">
        <v>3035</v>
      </c>
      <c r="G428" s="17">
        <v>3339</v>
      </c>
      <c r="H428" s="17">
        <v>3630</v>
      </c>
      <c r="I428" s="17">
        <v>3913</v>
      </c>
      <c r="J428" s="17">
        <v>4186</v>
      </c>
      <c r="K428" s="17">
        <v>4454</v>
      </c>
      <c r="L428" s="18">
        <v>4713</v>
      </c>
    </row>
    <row r="429" spans="2:12" ht="12.75">
      <c r="B429" s="14">
        <v>21951</v>
      </c>
      <c r="C429" s="17">
        <v>1667</v>
      </c>
      <c r="D429" s="17">
        <v>2360</v>
      </c>
      <c r="E429" s="17">
        <v>2721</v>
      </c>
      <c r="F429" s="17">
        <v>3039</v>
      </c>
      <c r="G429" s="17">
        <v>3343</v>
      </c>
      <c r="H429" s="17">
        <v>3634</v>
      </c>
      <c r="I429" s="17">
        <v>3917</v>
      </c>
      <c r="J429" s="17">
        <v>4191</v>
      </c>
      <c r="K429" s="17">
        <v>4460</v>
      </c>
      <c r="L429" s="18">
        <v>4718</v>
      </c>
    </row>
    <row r="430" spans="2:12" ht="12.75">
      <c r="B430" s="14">
        <v>22001</v>
      </c>
      <c r="C430" s="17">
        <v>1669</v>
      </c>
      <c r="D430" s="17">
        <v>2363</v>
      </c>
      <c r="E430" s="17">
        <v>2724</v>
      </c>
      <c r="F430" s="17">
        <v>3042</v>
      </c>
      <c r="G430" s="17">
        <v>3347</v>
      </c>
      <c r="H430" s="17">
        <v>3638</v>
      </c>
      <c r="I430" s="17">
        <v>3922</v>
      </c>
      <c r="J430" s="17">
        <v>4196</v>
      </c>
      <c r="K430" s="17">
        <v>4465</v>
      </c>
      <c r="L430" s="18">
        <v>4724</v>
      </c>
    </row>
    <row r="431" spans="2:12" ht="12.75">
      <c r="B431" s="14">
        <v>22051</v>
      </c>
      <c r="C431" s="17">
        <v>1671</v>
      </c>
      <c r="D431" s="17">
        <v>2366</v>
      </c>
      <c r="E431" s="17">
        <v>2727</v>
      </c>
      <c r="F431" s="17">
        <v>3046</v>
      </c>
      <c r="G431" s="17">
        <v>3351</v>
      </c>
      <c r="H431" s="17">
        <v>3642</v>
      </c>
      <c r="I431" s="17">
        <v>3926</v>
      </c>
      <c r="J431" s="17">
        <v>4201</v>
      </c>
      <c r="K431" s="17">
        <v>4470</v>
      </c>
      <c r="L431" s="18">
        <v>4729</v>
      </c>
    </row>
    <row r="432" spans="2:12" ht="12.75">
      <c r="B432" s="14">
        <v>22101</v>
      </c>
      <c r="C432" s="17">
        <v>1673</v>
      </c>
      <c r="D432" s="17">
        <v>2368</v>
      </c>
      <c r="E432" s="17">
        <v>2730</v>
      </c>
      <c r="F432" s="17">
        <v>3049</v>
      </c>
      <c r="G432" s="17">
        <v>3354</v>
      </c>
      <c r="H432" s="17">
        <v>3646</v>
      </c>
      <c r="I432" s="17">
        <v>3931</v>
      </c>
      <c r="J432" s="17">
        <v>4206</v>
      </c>
      <c r="K432" s="17">
        <v>4475</v>
      </c>
      <c r="L432" s="18">
        <v>4734</v>
      </c>
    </row>
    <row r="433" spans="2:12" ht="12.75">
      <c r="B433" s="14">
        <v>22151</v>
      </c>
      <c r="C433" s="17">
        <v>1675</v>
      </c>
      <c r="D433" s="17">
        <v>2371</v>
      </c>
      <c r="E433" s="17">
        <v>2733</v>
      </c>
      <c r="F433" s="17">
        <v>3053</v>
      </c>
      <c r="G433" s="17">
        <v>3358</v>
      </c>
      <c r="H433" s="17">
        <v>3650</v>
      </c>
      <c r="I433" s="17">
        <v>3935</v>
      </c>
      <c r="J433" s="17">
        <v>4210</v>
      </c>
      <c r="K433" s="17">
        <v>4480</v>
      </c>
      <c r="L433" s="18">
        <v>4740</v>
      </c>
    </row>
    <row r="434" spans="2:12" ht="12.75">
      <c r="B434" s="14">
        <v>22201</v>
      </c>
      <c r="C434" s="17">
        <v>1677</v>
      </c>
      <c r="D434" s="17">
        <v>2374</v>
      </c>
      <c r="E434" s="17">
        <v>2736</v>
      </c>
      <c r="F434" s="17">
        <v>3056</v>
      </c>
      <c r="G434" s="17">
        <v>3362</v>
      </c>
      <c r="H434" s="17">
        <v>3654</v>
      </c>
      <c r="I434" s="17">
        <v>3940</v>
      </c>
      <c r="J434" s="17">
        <v>4215</v>
      </c>
      <c r="K434" s="17">
        <v>4485</v>
      </c>
      <c r="L434" s="18">
        <v>4745</v>
      </c>
    </row>
    <row r="435" spans="2:12" ht="12.75">
      <c r="B435" s="14">
        <v>22251</v>
      </c>
      <c r="C435" s="17">
        <v>1679</v>
      </c>
      <c r="D435" s="17">
        <v>2377</v>
      </c>
      <c r="E435" s="17">
        <v>2739</v>
      </c>
      <c r="F435" s="17">
        <v>3060</v>
      </c>
      <c r="G435" s="17">
        <v>3366</v>
      </c>
      <c r="H435" s="17">
        <v>3659</v>
      </c>
      <c r="I435" s="17">
        <v>3944</v>
      </c>
      <c r="J435" s="17">
        <v>4220</v>
      </c>
      <c r="K435" s="17">
        <v>4490</v>
      </c>
      <c r="L435" s="18">
        <v>4751</v>
      </c>
    </row>
    <row r="436" spans="2:12" ht="12.75">
      <c r="B436" s="14">
        <v>22301</v>
      </c>
      <c r="C436" s="17">
        <v>1681</v>
      </c>
      <c r="D436" s="17">
        <v>2379</v>
      </c>
      <c r="E436" s="17">
        <v>2742</v>
      </c>
      <c r="F436" s="17">
        <v>3063</v>
      </c>
      <c r="G436" s="17">
        <v>3370</v>
      </c>
      <c r="H436" s="17">
        <v>3663</v>
      </c>
      <c r="I436" s="17">
        <v>3949</v>
      </c>
      <c r="J436" s="17">
        <v>4225</v>
      </c>
      <c r="K436" s="17">
        <v>4495</v>
      </c>
      <c r="L436" s="18">
        <v>4756</v>
      </c>
    </row>
    <row r="437" spans="2:12" ht="12.75">
      <c r="B437" s="14">
        <v>22351</v>
      </c>
      <c r="C437" s="17">
        <v>1683</v>
      </c>
      <c r="D437" s="17">
        <v>2382</v>
      </c>
      <c r="E437" s="17">
        <v>2746</v>
      </c>
      <c r="F437" s="17">
        <v>3067</v>
      </c>
      <c r="G437" s="17">
        <v>3373</v>
      </c>
      <c r="H437" s="17">
        <v>3667</v>
      </c>
      <c r="I437" s="17">
        <v>3953</v>
      </c>
      <c r="J437" s="17">
        <v>4230</v>
      </c>
      <c r="K437" s="17">
        <v>4500</v>
      </c>
      <c r="L437" s="18">
        <v>4761</v>
      </c>
    </row>
    <row r="438" spans="2:12" ht="12.75">
      <c r="B438" s="14">
        <v>22401</v>
      </c>
      <c r="C438" s="17">
        <v>1685</v>
      </c>
      <c r="D438" s="17">
        <v>2385</v>
      </c>
      <c r="E438" s="17">
        <v>2749</v>
      </c>
      <c r="F438" s="17">
        <v>3070</v>
      </c>
      <c r="G438" s="17">
        <v>3377</v>
      </c>
      <c r="H438" s="17">
        <v>3671</v>
      </c>
      <c r="I438" s="17">
        <v>3957</v>
      </c>
      <c r="J438" s="17">
        <v>4235</v>
      </c>
      <c r="K438" s="17">
        <v>4506</v>
      </c>
      <c r="L438" s="18">
        <v>4767</v>
      </c>
    </row>
    <row r="439" spans="2:12" ht="12.75">
      <c r="B439" s="14">
        <v>22451</v>
      </c>
      <c r="C439" s="17">
        <v>1687</v>
      </c>
      <c r="D439" s="17">
        <v>2388</v>
      </c>
      <c r="E439" s="17">
        <v>2752</v>
      </c>
      <c r="F439" s="17">
        <v>3074</v>
      </c>
      <c r="G439" s="17">
        <v>3381</v>
      </c>
      <c r="H439" s="17">
        <v>3675</v>
      </c>
      <c r="I439" s="17">
        <v>3962</v>
      </c>
      <c r="J439" s="17">
        <v>4239</v>
      </c>
      <c r="K439" s="17">
        <v>4511</v>
      </c>
      <c r="L439" s="18">
        <v>4772</v>
      </c>
    </row>
    <row r="440" spans="2:12" ht="12.75">
      <c r="B440" s="14">
        <v>22501</v>
      </c>
      <c r="C440" s="17">
        <v>1689</v>
      </c>
      <c r="D440" s="17">
        <v>2390</v>
      </c>
      <c r="E440" s="17">
        <v>2755</v>
      </c>
      <c r="F440" s="17">
        <v>3077</v>
      </c>
      <c r="G440" s="17">
        <v>3385</v>
      </c>
      <c r="H440" s="17">
        <v>3679</v>
      </c>
      <c r="I440" s="17">
        <v>3966</v>
      </c>
      <c r="J440" s="17">
        <v>4244</v>
      </c>
      <c r="K440" s="17">
        <v>4516</v>
      </c>
      <c r="L440" s="18">
        <v>4778</v>
      </c>
    </row>
    <row r="441" spans="2:12" ht="12.75">
      <c r="B441" s="14">
        <v>22551</v>
      </c>
      <c r="C441" s="17">
        <v>1691</v>
      </c>
      <c r="D441" s="17">
        <v>2393</v>
      </c>
      <c r="E441" s="17">
        <v>2758</v>
      </c>
      <c r="F441" s="17">
        <v>3081</v>
      </c>
      <c r="G441" s="17">
        <v>3389</v>
      </c>
      <c r="H441" s="17">
        <v>3684</v>
      </c>
      <c r="I441" s="17">
        <v>3971</v>
      </c>
      <c r="J441" s="17">
        <v>4249</v>
      </c>
      <c r="K441" s="17">
        <v>4521</v>
      </c>
      <c r="L441" s="18">
        <v>4783</v>
      </c>
    </row>
    <row r="442" spans="2:12" ht="12.75">
      <c r="B442" s="14">
        <v>22601</v>
      </c>
      <c r="C442" s="17">
        <v>1693</v>
      </c>
      <c r="D442" s="17">
        <v>2396</v>
      </c>
      <c r="E442" s="17">
        <v>2761</v>
      </c>
      <c r="F442" s="17">
        <v>3084</v>
      </c>
      <c r="G442" s="17">
        <v>3393</v>
      </c>
      <c r="H442" s="17">
        <v>3688</v>
      </c>
      <c r="I442" s="17">
        <v>3975</v>
      </c>
      <c r="J442" s="17">
        <v>4254</v>
      </c>
      <c r="K442" s="17">
        <v>4526</v>
      </c>
      <c r="L442" s="18">
        <v>4788</v>
      </c>
    </row>
    <row r="443" spans="2:12" ht="12.75">
      <c r="B443" s="14">
        <v>22651</v>
      </c>
      <c r="C443" s="17">
        <v>1695</v>
      </c>
      <c r="D443" s="17">
        <v>2399</v>
      </c>
      <c r="E443" s="17">
        <v>2764</v>
      </c>
      <c r="F443" s="17">
        <v>3088</v>
      </c>
      <c r="G443" s="17">
        <v>3396</v>
      </c>
      <c r="H443" s="17">
        <v>3692</v>
      </c>
      <c r="I443" s="17">
        <v>3980</v>
      </c>
      <c r="J443" s="17">
        <v>4259</v>
      </c>
      <c r="K443" s="17">
        <v>4531</v>
      </c>
      <c r="L443" s="18">
        <v>4794</v>
      </c>
    </row>
    <row r="444" spans="2:12" ht="12.75">
      <c r="B444" s="14">
        <v>22701</v>
      </c>
      <c r="C444" s="17">
        <v>1697</v>
      </c>
      <c r="D444" s="17">
        <v>2402</v>
      </c>
      <c r="E444" s="17">
        <v>2767</v>
      </c>
      <c r="F444" s="17">
        <v>3091</v>
      </c>
      <c r="G444" s="17">
        <v>3400</v>
      </c>
      <c r="H444" s="17">
        <v>3696</v>
      </c>
      <c r="I444" s="17">
        <v>3984</v>
      </c>
      <c r="J444" s="17">
        <v>4263</v>
      </c>
      <c r="K444" s="17">
        <v>4536</v>
      </c>
      <c r="L444" s="18">
        <v>4799</v>
      </c>
    </row>
    <row r="445" spans="2:12" ht="12.75">
      <c r="B445" s="14">
        <v>22751</v>
      </c>
      <c r="C445" s="17">
        <v>1699</v>
      </c>
      <c r="D445" s="17">
        <v>2404</v>
      </c>
      <c r="E445" s="17">
        <v>2771</v>
      </c>
      <c r="F445" s="17">
        <v>3095</v>
      </c>
      <c r="G445" s="17">
        <v>3404</v>
      </c>
      <c r="H445" s="17">
        <v>3700</v>
      </c>
      <c r="I445" s="17">
        <v>3989</v>
      </c>
      <c r="J445" s="17">
        <v>4268</v>
      </c>
      <c r="K445" s="17">
        <v>4541</v>
      </c>
      <c r="L445" s="18">
        <v>4805</v>
      </c>
    </row>
    <row r="446" spans="2:12" ht="12.75">
      <c r="B446" s="14">
        <v>22801</v>
      </c>
      <c r="C446" s="17">
        <v>1701</v>
      </c>
      <c r="D446" s="17">
        <v>2407</v>
      </c>
      <c r="E446" s="17">
        <v>2774</v>
      </c>
      <c r="F446" s="17">
        <v>3098</v>
      </c>
      <c r="G446" s="17">
        <v>3408</v>
      </c>
      <c r="H446" s="17">
        <v>3704</v>
      </c>
      <c r="I446" s="17">
        <v>3993</v>
      </c>
      <c r="J446" s="17">
        <v>4273</v>
      </c>
      <c r="K446" s="17">
        <v>4546</v>
      </c>
      <c r="L446" s="18">
        <v>4810</v>
      </c>
    </row>
    <row r="447" spans="2:12" ht="12.75">
      <c r="B447" s="14">
        <v>22851</v>
      </c>
      <c r="C447" s="17">
        <v>1703</v>
      </c>
      <c r="D447" s="17">
        <v>2410</v>
      </c>
      <c r="E447" s="17">
        <v>2777</v>
      </c>
      <c r="F447" s="17">
        <v>3102</v>
      </c>
      <c r="G447" s="17">
        <v>3412</v>
      </c>
      <c r="H447" s="17">
        <v>3709</v>
      </c>
      <c r="I447" s="17">
        <v>3998</v>
      </c>
      <c r="J447" s="17">
        <v>4278</v>
      </c>
      <c r="K447" s="17">
        <v>4552</v>
      </c>
      <c r="L447" s="18">
        <v>4815</v>
      </c>
    </row>
    <row r="448" spans="2:12" ht="12.75">
      <c r="B448" s="14">
        <v>22901</v>
      </c>
      <c r="C448" s="17">
        <v>1705</v>
      </c>
      <c r="D448" s="17">
        <v>2413</v>
      </c>
      <c r="E448" s="17">
        <v>2780</v>
      </c>
      <c r="F448" s="17">
        <v>3105</v>
      </c>
      <c r="G448" s="17">
        <v>3416</v>
      </c>
      <c r="H448" s="17">
        <v>3713</v>
      </c>
      <c r="I448" s="17">
        <v>4002</v>
      </c>
      <c r="J448" s="17">
        <v>4283</v>
      </c>
      <c r="K448" s="17">
        <v>4557</v>
      </c>
      <c r="L448" s="18">
        <v>4821</v>
      </c>
    </row>
    <row r="449" spans="2:12" ht="12.75">
      <c r="B449" s="14">
        <v>22951</v>
      </c>
      <c r="C449" s="17">
        <v>1707</v>
      </c>
      <c r="D449" s="17">
        <v>2415</v>
      </c>
      <c r="E449" s="17">
        <v>2783</v>
      </c>
      <c r="F449" s="17">
        <v>3109</v>
      </c>
      <c r="G449" s="17">
        <v>3419</v>
      </c>
      <c r="H449" s="17">
        <v>3717</v>
      </c>
      <c r="I449" s="17">
        <v>4007</v>
      </c>
      <c r="J449" s="17">
        <v>4287</v>
      </c>
      <c r="K449" s="17">
        <v>4562</v>
      </c>
      <c r="L449" s="18">
        <v>4826</v>
      </c>
    </row>
    <row r="450" spans="2:12" ht="12.75">
      <c r="B450" s="14">
        <v>23001</v>
      </c>
      <c r="C450" s="17">
        <v>1709</v>
      </c>
      <c r="D450" s="17">
        <v>2418</v>
      </c>
      <c r="E450" s="17">
        <v>2786</v>
      </c>
      <c r="F450" s="17">
        <v>3112</v>
      </c>
      <c r="G450" s="17">
        <v>3423</v>
      </c>
      <c r="H450" s="17">
        <v>3721</v>
      </c>
      <c r="I450" s="17">
        <v>4011</v>
      </c>
      <c r="J450" s="17">
        <v>4292</v>
      </c>
      <c r="K450" s="17">
        <v>4567</v>
      </c>
      <c r="L450" s="18">
        <v>4832</v>
      </c>
    </row>
    <row r="451" spans="2:12" ht="12.75">
      <c r="B451" s="14">
        <v>23051</v>
      </c>
      <c r="C451" s="17">
        <v>1711</v>
      </c>
      <c r="D451" s="17">
        <v>2421</v>
      </c>
      <c r="E451" s="17">
        <v>2789</v>
      </c>
      <c r="F451" s="17">
        <v>3116</v>
      </c>
      <c r="G451" s="17">
        <v>3427</v>
      </c>
      <c r="H451" s="17">
        <v>3725</v>
      </c>
      <c r="I451" s="17">
        <v>4016</v>
      </c>
      <c r="J451" s="17">
        <v>4297</v>
      </c>
      <c r="K451" s="17">
        <v>4572</v>
      </c>
      <c r="L451" s="18">
        <v>4837</v>
      </c>
    </row>
    <row r="452" spans="2:12" ht="12.75">
      <c r="B452" s="14">
        <v>23101</v>
      </c>
      <c r="C452" s="17">
        <v>1713</v>
      </c>
      <c r="D452" s="17">
        <v>2424</v>
      </c>
      <c r="E452" s="17">
        <v>2792</v>
      </c>
      <c r="F452" s="17">
        <v>3119</v>
      </c>
      <c r="G452" s="17">
        <v>3431</v>
      </c>
      <c r="H452" s="17">
        <v>3729</v>
      </c>
      <c r="I452" s="17">
        <v>4020</v>
      </c>
      <c r="J452" s="17">
        <v>4302</v>
      </c>
      <c r="K452" s="17">
        <v>4577</v>
      </c>
      <c r="L452" s="18">
        <v>4843</v>
      </c>
    </row>
    <row r="453" spans="2:12" ht="12.75">
      <c r="B453" s="14">
        <v>23151</v>
      </c>
      <c r="C453" s="17">
        <v>1715</v>
      </c>
      <c r="D453" s="17">
        <v>2427</v>
      </c>
      <c r="E453" s="17">
        <v>2795</v>
      </c>
      <c r="F453" s="17">
        <v>3123</v>
      </c>
      <c r="G453" s="17">
        <v>3435</v>
      </c>
      <c r="H453" s="17">
        <v>3734</v>
      </c>
      <c r="I453" s="17">
        <v>4025</v>
      </c>
      <c r="J453" s="17">
        <v>4307</v>
      </c>
      <c r="K453" s="17">
        <v>4582</v>
      </c>
      <c r="L453" s="18">
        <v>4848</v>
      </c>
    </row>
    <row r="454" spans="2:12" ht="12.75">
      <c r="B454" s="14">
        <v>23201</v>
      </c>
      <c r="C454" s="17">
        <v>1717</v>
      </c>
      <c r="D454" s="17">
        <v>2429</v>
      </c>
      <c r="E454" s="17">
        <v>2799</v>
      </c>
      <c r="F454" s="17">
        <v>3126</v>
      </c>
      <c r="G454" s="17">
        <v>3439</v>
      </c>
      <c r="H454" s="17">
        <v>3738</v>
      </c>
      <c r="I454" s="17">
        <v>4029</v>
      </c>
      <c r="J454" s="17">
        <v>4311</v>
      </c>
      <c r="K454" s="17">
        <v>4587</v>
      </c>
      <c r="L454" s="18">
        <v>4853</v>
      </c>
    </row>
    <row r="455" spans="2:12" ht="12.75">
      <c r="B455" s="14">
        <v>23251</v>
      </c>
      <c r="C455" s="17">
        <v>1719</v>
      </c>
      <c r="D455" s="17">
        <v>2432</v>
      </c>
      <c r="E455" s="17">
        <v>2802</v>
      </c>
      <c r="F455" s="17">
        <v>3129</v>
      </c>
      <c r="G455" s="17">
        <v>3442</v>
      </c>
      <c r="H455" s="17">
        <v>3742</v>
      </c>
      <c r="I455" s="17">
        <v>4034</v>
      </c>
      <c r="J455" s="17">
        <v>4316</v>
      </c>
      <c r="K455" s="17">
        <v>4592</v>
      </c>
      <c r="L455" s="18">
        <v>4859</v>
      </c>
    </row>
    <row r="456" spans="2:12" ht="12.75">
      <c r="B456" s="14">
        <v>23301</v>
      </c>
      <c r="C456" s="17">
        <v>1721</v>
      </c>
      <c r="D456" s="17">
        <v>2435</v>
      </c>
      <c r="E456" s="17">
        <v>2805</v>
      </c>
      <c r="F456" s="17">
        <v>3133</v>
      </c>
      <c r="G456" s="17">
        <v>3446</v>
      </c>
      <c r="H456" s="17">
        <v>3746</v>
      </c>
      <c r="I456" s="17">
        <v>4038</v>
      </c>
      <c r="J456" s="17">
        <v>4321</v>
      </c>
      <c r="K456" s="17">
        <v>4597</v>
      </c>
      <c r="L456" s="18">
        <v>4864</v>
      </c>
    </row>
    <row r="457" spans="2:12" ht="12.75">
      <c r="B457" s="14">
        <v>23351</v>
      </c>
      <c r="C457" s="17">
        <v>1723</v>
      </c>
      <c r="D457" s="17">
        <v>2438</v>
      </c>
      <c r="E457" s="17">
        <v>2808</v>
      </c>
      <c r="F457" s="17">
        <v>3136</v>
      </c>
      <c r="G457" s="17">
        <v>3450</v>
      </c>
      <c r="H457" s="17">
        <v>3750</v>
      </c>
      <c r="I457" s="17">
        <v>4043</v>
      </c>
      <c r="J457" s="17">
        <v>4326</v>
      </c>
      <c r="K457" s="17">
        <v>4603</v>
      </c>
      <c r="L457" s="18">
        <v>4870</v>
      </c>
    </row>
    <row r="458" spans="2:12" ht="12.75">
      <c r="B458" s="14">
        <v>23401</v>
      </c>
      <c r="C458" s="17">
        <v>1725</v>
      </c>
      <c r="D458" s="17">
        <v>2440</v>
      </c>
      <c r="E458" s="17">
        <v>2811</v>
      </c>
      <c r="F458" s="17">
        <v>3140</v>
      </c>
      <c r="G458" s="17">
        <v>3454</v>
      </c>
      <c r="H458" s="17">
        <v>3754</v>
      </c>
      <c r="I458" s="17">
        <v>4047</v>
      </c>
      <c r="J458" s="17">
        <v>4331</v>
      </c>
      <c r="K458" s="17">
        <v>4608</v>
      </c>
      <c r="L458" s="18">
        <v>4875</v>
      </c>
    </row>
    <row r="459" spans="2:12" ht="12.75">
      <c r="B459" s="14">
        <v>23451</v>
      </c>
      <c r="C459" s="17">
        <v>1727</v>
      </c>
      <c r="D459" s="17">
        <v>2443</v>
      </c>
      <c r="E459" s="17">
        <v>2814</v>
      </c>
      <c r="F459" s="17">
        <v>3143</v>
      </c>
      <c r="G459" s="17">
        <v>3458</v>
      </c>
      <c r="H459" s="17">
        <v>3759</v>
      </c>
      <c r="I459" s="17">
        <v>4052</v>
      </c>
      <c r="J459" s="17">
        <v>4335</v>
      </c>
      <c r="K459" s="17">
        <v>4613</v>
      </c>
      <c r="L459" s="18">
        <v>4880</v>
      </c>
    </row>
    <row r="460" spans="2:12" ht="12.75">
      <c r="B460" s="14">
        <v>23501</v>
      </c>
      <c r="C460" s="17">
        <v>1729</v>
      </c>
      <c r="D460" s="17">
        <v>2446</v>
      </c>
      <c r="E460" s="17">
        <v>2817</v>
      </c>
      <c r="F460" s="17">
        <v>3147</v>
      </c>
      <c r="G460" s="17">
        <v>3462</v>
      </c>
      <c r="H460" s="17">
        <v>3763</v>
      </c>
      <c r="I460" s="17">
        <v>4056</v>
      </c>
      <c r="J460" s="17">
        <v>4340</v>
      </c>
      <c r="K460" s="17">
        <v>4618</v>
      </c>
      <c r="L460" s="18">
        <v>4886</v>
      </c>
    </row>
    <row r="461" spans="2:12" ht="12.75">
      <c r="B461" s="14">
        <v>23551</v>
      </c>
      <c r="C461" s="17">
        <v>1731</v>
      </c>
      <c r="D461" s="17">
        <v>2449</v>
      </c>
      <c r="E461" s="17">
        <v>2820</v>
      </c>
      <c r="F461" s="17">
        <v>3150</v>
      </c>
      <c r="G461" s="17">
        <v>3465</v>
      </c>
      <c r="H461" s="17">
        <v>3767</v>
      </c>
      <c r="I461" s="17">
        <v>4061</v>
      </c>
      <c r="J461" s="17">
        <v>4345</v>
      </c>
      <c r="K461" s="17">
        <v>4623</v>
      </c>
      <c r="L461" s="18">
        <v>4891</v>
      </c>
    </row>
    <row r="462" spans="2:12" ht="12.75">
      <c r="B462" s="14">
        <v>23601</v>
      </c>
      <c r="C462" s="17">
        <v>1733</v>
      </c>
      <c r="D462" s="17">
        <v>2451</v>
      </c>
      <c r="E462" s="17">
        <v>2823</v>
      </c>
      <c r="F462" s="17">
        <v>3154</v>
      </c>
      <c r="G462" s="17">
        <v>3469</v>
      </c>
      <c r="H462" s="17">
        <v>3771</v>
      </c>
      <c r="I462" s="17">
        <v>4065</v>
      </c>
      <c r="J462" s="17">
        <v>4350</v>
      </c>
      <c r="K462" s="17">
        <v>4628</v>
      </c>
      <c r="L462" s="18">
        <v>4897</v>
      </c>
    </row>
    <row r="463" spans="2:12" ht="12.75">
      <c r="B463" s="14">
        <v>23651</v>
      </c>
      <c r="C463" s="17">
        <v>1735</v>
      </c>
      <c r="D463" s="17">
        <v>2454</v>
      </c>
      <c r="E463" s="17">
        <v>2827</v>
      </c>
      <c r="F463" s="17">
        <v>3157</v>
      </c>
      <c r="G463" s="17">
        <v>3473</v>
      </c>
      <c r="H463" s="17">
        <v>3775</v>
      </c>
      <c r="I463" s="17">
        <v>4070</v>
      </c>
      <c r="J463" s="17">
        <v>4355</v>
      </c>
      <c r="K463" s="17">
        <v>4633</v>
      </c>
      <c r="L463" s="18">
        <v>4902</v>
      </c>
    </row>
    <row r="464" spans="2:12" ht="12.75">
      <c r="B464" s="14">
        <v>23701</v>
      </c>
      <c r="C464" s="17">
        <v>1737</v>
      </c>
      <c r="D464" s="17">
        <v>2457</v>
      </c>
      <c r="E464" s="17">
        <v>2830</v>
      </c>
      <c r="F464" s="17">
        <v>3161</v>
      </c>
      <c r="G464" s="17">
        <v>3477</v>
      </c>
      <c r="H464" s="17">
        <v>3779</v>
      </c>
      <c r="I464" s="17">
        <v>4074</v>
      </c>
      <c r="J464" s="17">
        <v>4359</v>
      </c>
      <c r="K464" s="17">
        <v>4638</v>
      </c>
      <c r="L464" s="18">
        <v>4907</v>
      </c>
    </row>
    <row r="465" spans="2:12" ht="12.75">
      <c r="B465" s="14">
        <v>23751</v>
      </c>
      <c r="C465" s="17">
        <v>1739</v>
      </c>
      <c r="D465" s="17">
        <v>2460</v>
      </c>
      <c r="E465" s="17">
        <v>2833</v>
      </c>
      <c r="F465" s="17">
        <v>3164</v>
      </c>
      <c r="G465" s="17">
        <v>3481</v>
      </c>
      <c r="H465" s="17">
        <v>3784</v>
      </c>
      <c r="I465" s="17">
        <v>4079</v>
      </c>
      <c r="J465" s="17">
        <v>4364</v>
      </c>
      <c r="K465" s="17">
        <v>4643</v>
      </c>
      <c r="L465" s="18">
        <v>4913</v>
      </c>
    </row>
    <row r="466" spans="2:12" ht="12.75">
      <c r="B466" s="14">
        <v>23801</v>
      </c>
      <c r="C466" s="17">
        <v>1741</v>
      </c>
      <c r="D466" s="17">
        <v>2463</v>
      </c>
      <c r="E466" s="17">
        <v>2836</v>
      </c>
      <c r="F466" s="17">
        <v>3168</v>
      </c>
      <c r="G466" s="17">
        <v>3485</v>
      </c>
      <c r="H466" s="17">
        <v>3788</v>
      </c>
      <c r="I466" s="17">
        <v>4083</v>
      </c>
      <c r="J466" s="17">
        <v>4369</v>
      </c>
      <c r="K466" s="17">
        <v>4649</v>
      </c>
      <c r="L466" s="18">
        <v>4918</v>
      </c>
    </row>
    <row r="467" spans="2:12" ht="12.75">
      <c r="B467" s="14">
        <v>23851</v>
      </c>
      <c r="C467" s="17">
        <v>1743</v>
      </c>
      <c r="D467" s="17">
        <v>2465</v>
      </c>
      <c r="E467" s="17">
        <v>2839</v>
      </c>
      <c r="F467" s="17">
        <v>3171</v>
      </c>
      <c r="G467" s="17">
        <v>3488</v>
      </c>
      <c r="H467" s="17">
        <v>3792</v>
      </c>
      <c r="I467" s="17">
        <v>4088</v>
      </c>
      <c r="J467" s="17">
        <v>4374</v>
      </c>
      <c r="K467" s="17">
        <v>4654</v>
      </c>
      <c r="L467" s="18">
        <v>4924</v>
      </c>
    </row>
    <row r="468" spans="2:12" ht="12.75">
      <c r="B468" s="14">
        <v>23901</v>
      </c>
      <c r="C468" s="17">
        <v>1745</v>
      </c>
      <c r="D468" s="17">
        <v>2468</v>
      </c>
      <c r="E468" s="17">
        <v>2842</v>
      </c>
      <c r="F468" s="17">
        <v>3175</v>
      </c>
      <c r="G468" s="17">
        <v>3492</v>
      </c>
      <c r="H468" s="17">
        <v>3796</v>
      </c>
      <c r="I468" s="17">
        <v>4092</v>
      </c>
      <c r="J468" s="17">
        <v>4379</v>
      </c>
      <c r="K468" s="17">
        <v>4659</v>
      </c>
      <c r="L468" s="18">
        <v>4929</v>
      </c>
    </row>
    <row r="469" spans="2:12" ht="12.75">
      <c r="B469" s="14">
        <v>23951</v>
      </c>
      <c r="C469" s="17">
        <v>1747</v>
      </c>
      <c r="D469" s="17">
        <v>2471</v>
      </c>
      <c r="E469" s="17">
        <v>2845</v>
      </c>
      <c r="F469" s="17">
        <v>3178</v>
      </c>
      <c r="G469" s="17">
        <v>3496</v>
      </c>
      <c r="H469" s="17">
        <v>3800</v>
      </c>
      <c r="I469" s="17">
        <v>4097</v>
      </c>
      <c r="J469" s="17">
        <v>4383</v>
      </c>
      <c r="K469" s="17">
        <v>4664</v>
      </c>
      <c r="L469" s="18">
        <v>4934</v>
      </c>
    </row>
    <row r="470" spans="2:12" ht="12.75">
      <c r="B470" s="14">
        <v>24001</v>
      </c>
      <c r="C470" s="17">
        <v>1749</v>
      </c>
      <c r="D470" s="17">
        <v>2474</v>
      </c>
      <c r="E470" s="17">
        <v>2848</v>
      </c>
      <c r="F470" s="17">
        <v>3182</v>
      </c>
      <c r="G470" s="17">
        <v>3500</v>
      </c>
      <c r="H470" s="17">
        <v>3804</v>
      </c>
      <c r="I470" s="17">
        <v>4101</v>
      </c>
      <c r="J470" s="17">
        <v>4388</v>
      </c>
      <c r="K470" s="17">
        <v>4669</v>
      </c>
      <c r="L470" s="18">
        <v>4940</v>
      </c>
    </row>
    <row r="471" spans="2:12" ht="12.75">
      <c r="B471" s="14">
        <v>24051</v>
      </c>
      <c r="C471" s="17">
        <v>1751</v>
      </c>
      <c r="D471" s="17">
        <v>2476</v>
      </c>
      <c r="E471" s="17">
        <v>2852</v>
      </c>
      <c r="F471" s="17">
        <v>3185</v>
      </c>
      <c r="G471" s="17">
        <v>3504</v>
      </c>
      <c r="H471" s="17">
        <v>3809</v>
      </c>
      <c r="I471" s="17">
        <v>4106</v>
      </c>
      <c r="J471" s="17">
        <v>4393</v>
      </c>
      <c r="K471" s="17">
        <v>4674</v>
      </c>
      <c r="L471" s="18">
        <v>4945</v>
      </c>
    </row>
    <row r="472" spans="2:12" ht="12.75">
      <c r="B472" s="14">
        <v>24101</v>
      </c>
      <c r="C472" s="17">
        <v>1753</v>
      </c>
      <c r="D472" s="17">
        <v>2479</v>
      </c>
      <c r="E472" s="17">
        <v>2855</v>
      </c>
      <c r="F472" s="17">
        <v>3189</v>
      </c>
      <c r="G472" s="17">
        <v>3508</v>
      </c>
      <c r="H472" s="17">
        <v>3813</v>
      </c>
      <c r="I472" s="17">
        <v>4110</v>
      </c>
      <c r="J472" s="17">
        <v>4398</v>
      </c>
      <c r="K472" s="17">
        <v>4679</v>
      </c>
      <c r="L472" s="18">
        <v>4951</v>
      </c>
    </row>
    <row r="473" spans="2:12" ht="12.75">
      <c r="B473" s="14">
        <v>24151</v>
      </c>
      <c r="C473" s="17">
        <v>1755</v>
      </c>
      <c r="D473" s="17">
        <v>2482</v>
      </c>
      <c r="E473" s="17">
        <v>2858</v>
      </c>
      <c r="F473" s="17">
        <v>3192</v>
      </c>
      <c r="G473" s="17">
        <v>3511</v>
      </c>
      <c r="H473" s="17">
        <v>3817</v>
      </c>
      <c r="I473" s="17">
        <v>4115</v>
      </c>
      <c r="J473" s="17">
        <v>4403</v>
      </c>
      <c r="K473" s="17">
        <v>4684</v>
      </c>
      <c r="L473" s="18">
        <v>4956</v>
      </c>
    </row>
    <row r="474" spans="2:12" ht="12.75">
      <c r="B474" s="14">
        <v>24201</v>
      </c>
      <c r="C474" s="17">
        <v>1757</v>
      </c>
      <c r="D474" s="17">
        <v>2485</v>
      </c>
      <c r="E474" s="17">
        <v>2861</v>
      </c>
      <c r="F474" s="17">
        <v>3196</v>
      </c>
      <c r="G474" s="17">
        <v>3515</v>
      </c>
      <c r="H474" s="17">
        <v>3821</v>
      </c>
      <c r="I474" s="17">
        <v>4119</v>
      </c>
      <c r="J474" s="17">
        <v>4407</v>
      </c>
      <c r="K474" s="17">
        <v>4689</v>
      </c>
      <c r="L474" s="18">
        <v>4961</v>
      </c>
    </row>
    <row r="475" spans="2:12" ht="12.75">
      <c r="B475" s="14">
        <v>24251</v>
      </c>
      <c r="C475" s="17">
        <v>1759</v>
      </c>
      <c r="D475" s="17">
        <v>2488</v>
      </c>
      <c r="E475" s="17">
        <v>2864</v>
      </c>
      <c r="F475" s="17">
        <v>3199</v>
      </c>
      <c r="G475" s="17">
        <v>3519</v>
      </c>
      <c r="H475" s="17">
        <v>3825</v>
      </c>
      <c r="I475" s="17">
        <v>4124</v>
      </c>
      <c r="J475" s="17">
        <v>4412</v>
      </c>
      <c r="K475" s="17">
        <v>4695</v>
      </c>
      <c r="L475" s="18">
        <v>4967</v>
      </c>
    </row>
    <row r="476" spans="2:12" ht="12.75">
      <c r="B476" s="14">
        <v>24301</v>
      </c>
      <c r="C476" s="17">
        <v>1761</v>
      </c>
      <c r="D476" s="17">
        <v>2490</v>
      </c>
      <c r="E476" s="17">
        <v>2867</v>
      </c>
      <c r="F476" s="17">
        <v>3203</v>
      </c>
      <c r="G476" s="17">
        <v>3523</v>
      </c>
      <c r="H476" s="17">
        <v>3829</v>
      </c>
      <c r="I476" s="17">
        <v>4128</v>
      </c>
      <c r="J476" s="17">
        <v>4417</v>
      </c>
      <c r="K476" s="17">
        <v>4700</v>
      </c>
      <c r="L476" s="18">
        <v>4972</v>
      </c>
    </row>
    <row r="477" spans="2:12" ht="12.75">
      <c r="B477" s="14">
        <v>24351</v>
      </c>
      <c r="C477" s="17">
        <v>1763</v>
      </c>
      <c r="D477" s="17">
        <v>2493</v>
      </c>
      <c r="E477" s="17">
        <v>2870</v>
      </c>
      <c r="F477" s="17">
        <v>3206</v>
      </c>
      <c r="G477" s="17">
        <v>3527</v>
      </c>
      <c r="H477" s="17">
        <v>3833</v>
      </c>
      <c r="I477" s="17">
        <v>4133</v>
      </c>
      <c r="J477" s="17">
        <v>4422</v>
      </c>
      <c r="K477" s="17">
        <v>4705</v>
      </c>
      <c r="L477" s="18">
        <v>4978</v>
      </c>
    </row>
    <row r="478" spans="2:12" ht="12.75">
      <c r="B478" s="14">
        <v>24401</v>
      </c>
      <c r="C478" s="17">
        <v>1765</v>
      </c>
      <c r="D478" s="17">
        <v>2496</v>
      </c>
      <c r="E478" s="17">
        <v>2873</v>
      </c>
      <c r="F478" s="17">
        <v>3210</v>
      </c>
      <c r="G478" s="17">
        <v>3531</v>
      </c>
      <c r="H478" s="17">
        <v>3838</v>
      </c>
      <c r="I478" s="17">
        <v>4137</v>
      </c>
      <c r="J478" s="17">
        <v>4427</v>
      </c>
      <c r="K478" s="17">
        <v>4710</v>
      </c>
      <c r="L478" s="18">
        <v>4983</v>
      </c>
    </row>
    <row r="479" spans="2:12" ht="12.75">
      <c r="B479" s="14">
        <v>24451</v>
      </c>
      <c r="C479" s="17">
        <v>1768</v>
      </c>
      <c r="D479" s="17">
        <v>2499</v>
      </c>
      <c r="E479" s="17">
        <v>2876</v>
      </c>
      <c r="F479" s="17">
        <v>3213</v>
      </c>
      <c r="G479" s="17">
        <v>3534</v>
      </c>
      <c r="H479" s="17">
        <v>3842</v>
      </c>
      <c r="I479" s="17">
        <v>4141</v>
      </c>
      <c r="J479" s="17">
        <v>4431</v>
      </c>
      <c r="K479" s="17">
        <v>4715</v>
      </c>
      <c r="L479" s="18">
        <v>4988</v>
      </c>
    </row>
    <row r="480" spans="2:12" ht="12.75">
      <c r="B480" s="14">
        <v>24501</v>
      </c>
      <c r="C480" s="17">
        <v>1770</v>
      </c>
      <c r="D480" s="17">
        <v>2501</v>
      </c>
      <c r="E480" s="17">
        <v>2880</v>
      </c>
      <c r="F480" s="17">
        <v>3217</v>
      </c>
      <c r="G480" s="17">
        <v>3538</v>
      </c>
      <c r="H480" s="17">
        <v>3846</v>
      </c>
      <c r="I480" s="17">
        <v>4146</v>
      </c>
      <c r="J480" s="17">
        <v>4436</v>
      </c>
      <c r="K480" s="17">
        <v>4720</v>
      </c>
      <c r="L480" s="18">
        <v>4994</v>
      </c>
    </row>
    <row r="481" spans="2:12" ht="12.75">
      <c r="B481" s="14">
        <v>24551</v>
      </c>
      <c r="C481" s="17">
        <v>1772</v>
      </c>
      <c r="D481" s="17">
        <v>2504</v>
      </c>
      <c r="E481" s="17">
        <v>2883</v>
      </c>
      <c r="F481" s="17">
        <v>3220</v>
      </c>
      <c r="G481" s="17">
        <v>3542</v>
      </c>
      <c r="H481" s="17">
        <v>3850</v>
      </c>
      <c r="I481" s="17">
        <v>4150</v>
      </c>
      <c r="J481" s="17">
        <v>4441</v>
      </c>
      <c r="K481" s="17">
        <v>4725</v>
      </c>
      <c r="L481" s="18">
        <v>4999</v>
      </c>
    </row>
    <row r="482" spans="2:12" ht="12.75">
      <c r="B482" s="14">
        <v>24601</v>
      </c>
      <c r="C482" s="17">
        <v>1774</v>
      </c>
      <c r="D482" s="17">
        <v>2507</v>
      </c>
      <c r="E482" s="17">
        <v>2886</v>
      </c>
      <c r="F482" s="17">
        <v>3223</v>
      </c>
      <c r="G482" s="17">
        <v>3546</v>
      </c>
      <c r="H482" s="17">
        <v>3854</v>
      </c>
      <c r="I482" s="17">
        <v>4155</v>
      </c>
      <c r="J482" s="17">
        <v>4446</v>
      </c>
      <c r="K482" s="17">
        <v>4730</v>
      </c>
      <c r="L482" s="18">
        <v>5005</v>
      </c>
    </row>
    <row r="483" spans="2:12" ht="12.75">
      <c r="B483" s="14">
        <v>24651</v>
      </c>
      <c r="C483" s="17">
        <v>1776</v>
      </c>
      <c r="D483" s="17">
        <v>2510</v>
      </c>
      <c r="E483" s="17">
        <v>2889</v>
      </c>
      <c r="F483" s="17">
        <v>3227</v>
      </c>
      <c r="G483" s="17">
        <v>3550</v>
      </c>
      <c r="H483" s="17">
        <v>3858</v>
      </c>
      <c r="I483" s="17">
        <v>4159</v>
      </c>
      <c r="J483" s="17">
        <v>4451</v>
      </c>
      <c r="K483" s="17">
        <v>4735</v>
      </c>
      <c r="L483" s="18">
        <v>5010</v>
      </c>
    </row>
    <row r="484" spans="2:12" ht="12.75">
      <c r="B484" s="14">
        <v>24701</v>
      </c>
      <c r="C484" s="17">
        <v>1778</v>
      </c>
      <c r="D484" s="17">
        <v>2512</v>
      </c>
      <c r="E484" s="17">
        <v>2892</v>
      </c>
      <c r="F484" s="17">
        <v>3230</v>
      </c>
      <c r="G484" s="17">
        <v>3553</v>
      </c>
      <c r="H484" s="17">
        <v>3863</v>
      </c>
      <c r="I484" s="17">
        <v>4164</v>
      </c>
      <c r="J484" s="17">
        <v>4455</v>
      </c>
      <c r="K484" s="17">
        <v>4741</v>
      </c>
      <c r="L484" s="18">
        <v>5015</v>
      </c>
    </row>
    <row r="485" spans="2:12" ht="12.75">
      <c r="B485" s="14">
        <v>24751</v>
      </c>
      <c r="C485" s="17">
        <v>1780</v>
      </c>
      <c r="D485" s="17">
        <v>2515</v>
      </c>
      <c r="E485" s="17">
        <v>2895</v>
      </c>
      <c r="F485" s="17">
        <v>3234</v>
      </c>
      <c r="G485" s="17">
        <v>3557</v>
      </c>
      <c r="H485" s="17">
        <v>3867</v>
      </c>
      <c r="I485" s="17">
        <v>4168</v>
      </c>
      <c r="J485" s="17">
        <v>4460</v>
      </c>
      <c r="K485" s="17">
        <v>4746</v>
      </c>
      <c r="L485" s="18">
        <v>5021</v>
      </c>
    </row>
    <row r="486" spans="2:12" ht="12.75">
      <c r="B486" s="14">
        <v>24801</v>
      </c>
      <c r="C486" s="17">
        <v>1782</v>
      </c>
      <c r="D486" s="17">
        <v>2518</v>
      </c>
      <c r="E486" s="17">
        <v>2898</v>
      </c>
      <c r="F486" s="17">
        <v>3237</v>
      </c>
      <c r="G486" s="17">
        <v>3561</v>
      </c>
      <c r="H486" s="17">
        <v>3871</v>
      </c>
      <c r="I486" s="17">
        <v>4173</v>
      </c>
      <c r="J486" s="17">
        <v>4465</v>
      </c>
      <c r="K486" s="17">
        <v>4751</v>
      </c>
      <c r="L486" s="18">
        <v>5026</v>
      </c>
    </row>
    <row r="487" spans="2:12" ht="12.75">
      <c r="B487" s="14">
        <v>24851</v>
      </c>
      <c r="C487" s="17">
        <v>1784</v>
      </c>
      <c r="D487" s="17">
        <v>2521</v>
      </c>
      <c r="E487" s="17">
        <v>2901</v>
      </c>
      <c r="F487" s="17">
        <v>3241</v>
      </c>
      <c r="G487" s="17">
        <v>3565</v>
      </c>
      <c r="H487" s="17">
        <v>3875</v>
      </c>
      <c r="I487" s="17">
        <v>4177</v>
      </c>
      <c r="J487" s="17">
        <v>4470</v>
      </c>
      <c r="K487" s="17">
        <v>4756</v>
      </c>
      <c r="L487" s="18">
        <v>5032</v>
      </c>
    </row>
    <row r="488" spans="2:12" ht="12.75">
      <c r="B488" s="14">
        <v>24901</v>
      </c>
      <c r="C488" s="17">
        <v>1786</v>
      </c>
      <c r="D488" s="17">
        <v>2524</v>
      </c>
      <c r="E488" s="17">
        <v>2905</v>
      </c>
      <c r="F488" s="17">
        <v>3244</v>
      </c>
      <c r="G488" s="17">
        <v>3569</v>
      </c>
      <c r="H488" s="17">
        <v>3879</v>
      </c>
      <c r="I488" s="17">
        <v>4182</v>
      </c>
      <c r="J488" s="17">
        <v>4475</v>
      </c>
      <c r="K488" s="17">
        <v>4761</v>
      </c>
      <c r="L488" s="18">
        <v>5037</v>
      </c>
    </row>
    <row r="489" spans="2:12" ht="12.75">
      <c r="B489" s="14">
        <v>24951</v>
      </c>
      <c r="C489" s="17">
        <v>1788</v>
      </c>
      <c r="D489" s="17">
        <v>2526</v>
      </c>
      <c r="E489" s="17">
        <v>2908</v>
      </c>
      <c r="F489" s="17">
        <v>3248</v>
      </c>
      <c r="G489" s="17">
        <v>3573</v>
      </c>
      <c r="H489" s="17">
        <v>3883</v>
      </c>
      <c r="I489" s="17">
        <v>4186</v>
      </c>
      <c r="J489" s="17">
        <v>4479</v>
      </c>
      <c r="K489" s="17">
        <v>4766</v>
      </c>
      <c r="L489" s="18">
        <v>5043</v>
      </c>
    </row>
    <row r="490" spans="2:12" ht="12.75">
      <c r="B490" s="14">
        <v>25001</v>
      </c>
      <c r="C490" s="17">
        <v>1790</v>
      </c>
      <c r="D490" s="17">
        <v>2529</v>
      </c>
      <c r="E490" s="17">
        <v>2911</v>
      </c>
      <c r="F490" s="17">
        <v>3251</v>
      </c>
      <c r="G490" s="17">
        <v>3576</v>
      </c>
      <c r="H490" s="17">
        <v>3888</v>
      </c>
      <c r="I490" s="17">
        <v>4191</v>
      </c>
      <c r="J490" s="17">
        <v>4484</v>
      </c>
      <c r="K490" s="17">
        <v>4771</v>
      </c>
      <c r="L490" s="18">
        <v>5048</v>
      </c>
    </row>
    <row r="491" spans="2:12" ht="12.75">
      <c r="B491" s="14">
        <v>25051</v>
      </c>
      <c r="C491" s="17">
        <v>1792</v>
      </c>
      <c r="D491" s="17">
        <v>2532</v>
      </c>
      <c r="E491" s="17">
        <v>2914</v>
      </c>
      <c r="F491" s="17">
        <v>3255</v>
      </c>
      <c r="G491" s="17">
        <v>3580</v>
      </c>
      <c r="H491" s="17">
        <v>3892</v>
      </c>
      <c r="I491" s="17">
        <v>4195</v>
      </c>
      <c r="J491" s="17">
        <v>4489</v>
      </c>
      <c r="K491" s="17">
        <v>4776</v>
      </c>
      <c r="L491" s="18">
        <v>5053</v>
      </c>
    </row>
    <row r="492" spans="2:12" ht="12.75">
      <c r="B492" s="14">
        <v>25101</v>
      </c>
      <c r="C492" s="17">
        <v>1794</v>
      </c>
      <c r="D492" s="17">
        <v>2535</v>
      </c>
      <c r="E492" s="17">
        <v>2917</v>
      </c>
      <c r="F492" s="17">
        <v>3258</v>
      </c>
      <c r="G492" s="17">
        <v>3584</v>
      </c>
      <c r="H492" s="17">
        <v>3896</v>
      </c>
      <c r="I492" s="17">
        <v>4200</v>
      </c>
      <c r="J492" s="17">
        <v>4494</v>
      </c>
      <c r="K492" s="17">
        <v>4781</v>
      </c>
      <c r="L492" s="18">
        <v>5059</v>
      </c>
    </row>
    <row r="493" spans="2:12" ht="12.75">
      <c r="B493" s="14">
        <v>25151</v>
      </c>
      <c r="C493" s="17">
        <v>1796</v>
      </c>
      <c r="D493" s="17">
        <v>2537</v>
      </c>
      <c r="E493" s="17">
        <v>2920</v>
      </c>
      <c r="F493" s="17">
        <v>3262</v>
      </c>
      <c r="G493" s="17">
        <v>3588</v>
      </c>
      <c r="H493" s="17">
        <v>3900</v>
      </c>
      <c r="I493" s="17">
        <v>4204</v>
      </c>
      <c r="J493" s="17">
        <v>4499</v>
      </c>
      <c r="K493" s="17">
        <v>4787</v>
      </c>
      <c r="L493" s="18">
        <v>5064</v>
      </c>
    </row>
    <row r="494" spans="2:12" ht="12.75">
      <c r="B494" s="14">
        <v>25201</v>
      </c>
      <c r="C494" s="17">
        <v>1798</v>
      </c>
      <c r="D494" s="17">
        <v>2540</v>
      </c>
      <c r="E494" s="17">
        <v>2923</v>
      </c>
      <c r="F494" s="17">
        <v>3265</v>
      </c>
      <c r="G494" s="17">
        <v>3592</v>
      </c>
      <c r="H494" s="17">
        <v>3904</v>
      </c>
      <c r="I494" s="17">
        <v>4209</v>
      </c>
      <c r="J494" s="17">
        <v>4503</v>
      </c>
      <c r="K494" s="17">
        <v>4792</v>
      </c>
      <c r="L494" s="18">
        <v>5070</v>
      </c>
    </row>
    <row r="495" spans="2:12" ht="12.75">
      <c r="B495" s="14">
        <v>25251</v>
      </c>
      <c r="C495" s="17">
        <v>1800</v>
      </c>
      <c r="D495" s="17">
        <v>2543</v>
      </c>
      <c r="E495" s="17">
        <v>2926</v>
      </c>
      <c r="F495" s="17">
        <v>3269</v>
      </c>
      <c r="G495" s="17">
        <v>3596</v>
      </c>
      <c r="H495" s="17">
        <v>3908</v>
      </c>
      <c r="I495" s="17">
        <v>4213</v>
      </c>
      <c r="J495" s="17">
        <v>4508</v>
      </c>
      <c r="K495" s="17">
        <v>4797</v>
      </c>
      <c r="L495" s="18">
        <v>5075</v>
      </c>
    </row>
    <row r="496" spans="2:12" ht="12.75">
      <c r="B496" s="14">
        <v>25301</v>
      </c>
      <c r="C496" s="17">
        <v>1802</v>
      </c>
      <c r="D496" s="17">
        <v>2546</v>
      </c>
      <c r="E496" s="17">
        <v>2929</v>
      </c>
      <c r="F496" s="17">
        <v>3272</v>
      </c>
      <c r="G496" s="17">
        <v>3599</v>
      </c>
      <c r="H496" s="17">
        <v>3913</v>
      </c>
      <c r="I496" s="17">
        <v>4218</v>
      </c>
      <c r="J496" s="17">
        <v>4513</v>
      </c>
      <c r="K496" s="17">
        <v>4802</v>
      </c>
      <c r="L496" s="18">
        <v>5080</v>
      </c>
    </row>
    <row r="497" spans="2:12" ht="12.75">
      <c r="B497" s="14">
        <v>25351</v>
      </c>
      <c r="C497" s="17">
        <v>1804</v>
      </c>
      <c r="D497" s="17">
        <v>2549</v>
      </c>
      <c r="E497" s="17">
        <v>2933</v>
      </c>
      <c r="F497" s="17">
        <v>3276</v>
      </c>
      <c r="G497" s="17">
        <v>3603</v>
      </c>
      <c r="H497" s="17">
        <v>3917</v>
      </c>
      <c r="I497" s="17">
        <v>4222</v>
      </c>
      <c r="J497" s="17">
        <v>4518</v>
      </c>
      <c r="K497" s="17">
        <v>4807</v>
      </c>
      <c r="L497" s="18">
        <v>5086</v>
      </c>
    </row>
    <row r="498" spans="2:12" ht="12.75">
      <c r="B498" s="14">
        <v>25401</v>
      </c>
      <c r="C498" s="17">
        <v>1806</v>
      </c>
      <c r="D498" s="17">
        <v>2551</v>
      </c>
      <c r="E498" s="17">
        <v>2936</v>
      </c>
      <c r="F498" s="17">
        <v>3279</v>
      </c>
      <c r="G498" s="17">
        <v>3607</v>
      </c>
      <c r="H498" s="17">
        <v>3921</v>
      </c>
      <c r="I498" s="17">
        <v>4227</v>
      </c>
      <c r="J498" s="17">
        <v>4523</v>
      </c>
      <c r="K498" s="17">
        <v>4812</v>
      </c>
      <c r="L498" s="18">
        <v>5091</v>
      </c>
    </row>
    <row r="499" spans="2:12" ht="12.75">
      <c r="B499" s="14">
        <v>25451</v>
      </c>
      <c r="C499" s="17">
        <v>1808</v>
      </c>
      <c r="D499" s="17">
        <v>2554</v>
      </c>
      <c r="E499" s="17">
        <v>2939</v>
      </c>
      <c r="F499" s="17">
        <v>3283</v>
      </c>
      <c r="G499" s="17">
        <v>3611</v>
      </c>
      <c r="H499" s="17">
        <v>3925</v>
      </c>
      <c r="I499" s="17">
        <v>4231</v>
      </c>
      <c r="J499" s="17">
        <v>4527</v>
      </c>
      <c r="K499" s="17">
        <v>4817</v>
      </c>
      <c r="L499" s="18">
        <v>5097</v>
      </c>
    </row>
    <row r="500" spans="2:12" ht="12.75">
      <c r="B500" s="14">
        <v>25501</v>
      </c>
      <c r="C500" s="17">
        <v>1810</v>
      </c>
      <c r="D500" s="17">
        <v>2557</v>
      </c>
      <c r="E500" s="17">
        <v>2942</v>
      </c>
      <c r="F500" s="17">
        <v>3286</v>
      </c>
      <c r="G500" s="17">
        <v>3615</v>
      </c>
      <c r="H500" s="17">
        <v>3929</v>
      </c>
      <c r="I500" s="17">
        <v>4236</v>
      </c>
      <c r="J500" s="17">
        <v>4532</v>
      </c>
      <c r="K500" s="17">
        <v>4822</v>
      </c>
      <c r="L500" s="18">
        <v>5102</v>
      </c>
    </row>
    <row r="501" spans="2:12" ht="12.75">
      <c r="B501" s="14">
        <v>25551</v>
      </c>
      <c r="C501" s="17">
        <v>1812</v>
      </c>
      <c r="D501" s="17">
        <v>2560</v>
      </c>
      <c r="E501" s="17">
        <v>2945</v>
      </c>
      <c r="F501" s="17">
        <v>3290</v>
      </c>
      <c r="G501" s="17">
        <v>3619</v>
      </c>
      <c r="H501" s="17">
        <v>3933</v>
      </c>
      <c r="I501" s="17">
        <v>4240</v>
      </c>
      <c r="J501" s="17">
        <v>4537</v>
      </c>
      <c r="K501" s="17">
        <v>4827</v>
      </c>
      <c r="L501" s="18">
        <v>5107</v>
      </c>
    </row>
    <row r="502" spans="2:12" ht="12.75">
      <c r="B502" s="14">
        <v>25601</v>
      </c>
      <c r="C502" s="17">
        <v>1814</v>
      </c>
      <c r="D502" s="17">
        <v>2562</v>
      </c>
      <c r="E502" s="17">
        <v>2948</v>
      </c>
      <c r="F502" s="17">
        <v>3293</v>
      </c>
      <c r="G502" s="17">
        <v>3622</v>
      </c>
      <c r="H502" s="17">
        <v>3938</v>
      </c>
      <c r="I502" s="17">
        <v>4245</v>
      </c>
      <c r="J502" s="17">
        <v>4542</v>
      </c>
      <c r="K502" s="17">
        <v>4833</v>
      </c>
      <c r="L502" s="18">
        <v>5113</v>
      </c>
    </row>
    <row r="503" spans="2:12" ht="12.75">
      <c r="B503" s="14">
        <v>25651</v>
      </c>
      <c r="C503" s="17">
        <v>1816</v>
      </c>
      <c r="D503" s="17">
        <v>2565</v>
      </c>
      <c r="E503" s="17">
        <v>2951</v>
      </c>
      <c r="F503" s="17">
        <v>3297</v>
      </c>
      <c r="G503" s="17">
        <v>3626</v>
      </c>
      <c r="H503" s="17">
        <v>3942</v>
      </c>
      <c r="I503" s="17">
        <v>4249</v>
      </c>
      <c r="J503" s="17">
        <v>4547</v>
      </c>
      <c r="K503" s="17">
        <v>4838</v>
      </c>
      <c r="L503" s="18">
        <v>5118</v>
      </c>
    </row>
    <row r="504" spans="2:12" ht="12.75">
      <c r="B504" s="14">
        <v>25701</v>
      </c>
      <c r="C504" s="17">
        <v>1818</v>
      </c>
      <c r="D504" s="17">
        <v>2568</v>
      </c>
      <c r="E504" s="17">
        <v>2954</v>
      </c>
      <c r="F504" s="17">
        <v>3300</v>
      </c>
      <c r="G504" s="17">
        <v>3630</v>
      </c>
      <c r="H504" s="17">
        <v>3946</v>
      </c>
      <c r="I504" s="17">
        <v>4254</v>
      </c>
      <c r="J504" s="17">
        <v>4551</v>
      </c>
      <c r="K504" s="17">
        <v>4843</v>
      </c>
      <c r="L504" s="18">
        <v>5124</v>
      </c>
    </row>
    <row r="505" spans="2:12" ht="12.75">
      <c r="B505" s="14">
        <v>25751</v>
      </c>
      <c r="C505" s="17">
        <v>1820</v>
      </c>
      <c r="D505" s="17">
        <v>2571</v>
      </c>
      <c r="E505" s="17">
        <v>2958</v>
      </c>
      <c r="F505" s="17">
        <v>3304</v>
      </c>
      <c r="G505" s="17">
        <v>3634</v>
      </c>
      <c r="H505" s="17">
        <v>3950</v>
      </c>
      <c r="I505" s="17">
        <v>4258</v>
      </c>
      <c r="J505" s="17">
        <v>4556</v>
      </c>
      <c r="K505" s="17">
        <v>4848</v>
      </c>
      <c r="L505" s="18">
        <v>5129</v>
      </c>
    </row>
    <row r="506" spans="2:12" ht="12.75">
      <c r="B506" s="14">
        <v>25801</v>
      </c>
      <c r="C506" s="17">
        <v>1822</v>
      </c>
      <c r="D506" s="17">
        <v>2574</v>
      </c>
      <c r="E506" s="17">
        <v>2961</v>
      </c>
      <c r="F506" s="17">
        <v>3307</v>
      </c>
      <c r="G506" s="17">
        <v>3638</v>
      </c>
      <c r="H506" s="17">
        <v>3954</v>
      </c>
      <c r="I506" s="17">
        <v>4263</v>
      </c>
      <c r="J506" s="17">
        <v>4561</v>
      </c>
      <c r="K506" s="17">
        <v>4853</v>
      </c>
      <c r="L506" s="18">
        <v>5134</v>
      </c>
    </row>
    <row r="507" spans="2:12" ht="12.75">
      <c r="B507" s="14">
        <v>25851</v>
      </c>
      <c r="C507" s="17">
        <v>1824</v>
      </c>
      <c r="D507" s="17">
        <v>2576</v>
      </c>
      <c r="E507" s="17">
        <v>2964</v>
      </c>
      <c r="F507" s="17">
        <v>3311</v>
      </c>
      <c r="G507" s="17">
        <v>3642</v>
      </c>
      <c r="H507" s="17">
        <v>3958</v>
      </c>
      <c r="I507" s="17">
        <v>4267</v>
      </c>
      <c r="J507" s="17">
        <v>4566</v>
      </c>
      <c r="K507" s="17">
        <v>4858</v>
      </c>
      <c r="L507" s="18">
        <v>5140</v>
      </c>
    </row>
    <row r="508" spans="2:12" ht="12.75">
      <c r="B508" s="14">
        <v>25901</v>
      </c>
      <c r="C508" s="17">
        <v>1826</v>
      </c>
      <c r="D508" s="17">
        <v>2579</v>
      </c>
      <c r="E508" s="17">
        <v>2967</v>
      </c>
      <c r="F508" s="17">
        <v>3314</v>
      </c>
      <c r="G508" s="17">
        <v>3645</v>
      </c>
      <c r="H508" s="17">
        <v>3963</v>
      </c>
      <c r="I508" s="17">
        <v>4272</v>
      </c>
      <c r="J508" s="17">
        <v>4571</v>
      </c>
      <c r="K508" s="17">
        <v>4863</v>
      </c>
      <c r="L508" s="18">
        <v>5145</v>
      </c>
    </row>
    <row r="509" spans="2:12" ht="12.75">
      <c r="B509" s="14">
        <v>25951</v>
      </c>
      <c r="C509" s="17">
        <v>1828</v>
      </c>
      <c r="D509" s="17">
        <v>2582</v>
      </c>
      <c r="E509" s="17">
        <v>2970</v>
      </c>
      <c r="F509" s="17">
        <v>3317</v>
      </c>
      <c r="G509" s="17">
        <v>3649</v>
      </c>
      <c r="H509" s="17">
        <v>3967</v>
      </c>
      <c r="I509" s="17">
        <v>4276</v>
      </c>
      <c r="J509" s="17">
        <v>4575</v>
      </c>
      <c r="K509" s="17">
        <v>4868</v>
      </c>
      <c r="L509" s="18">
        <v>5151</v>
      </c>
    </row>
    <row r="510" spans="2:12" ht="12.75">
      <c r="B510" s="14">
        <v>26001</v>
      </c>
      <c r="C510" s="17">
        <v>1830</v>
      </c>
      <c r="D510" s="17">
        <v>2585</v>
      </c>
      <c r="E510" s="17">
        <v>2973</v>
      </c>
      <c r="F510" s="17">
        <v>3321</v>
      </c>
      <c r="G510" s="17">
        <v>3653</v>
      </c>
      <c r="H510" s="17">
        <v>3971</v>
      </c>
      <c r="I510" s="17">
        <v>4281</v>
      </c>
      <c r="J510" s="17">
        <v>4580</v>
      </c>
      <c r="K510" s="17">
        <v>4873</v>
      </c>
      <c r="L510" s="18">
        <v>5156</v>
      </c>
    </row>
    <row r="511" spans="2:12" ht="12.75">
      <c r="B511" s="14">
        <v>26051</v>
      </c>
      <c r="C511" s="17">
        <v>1832</v>
      </c>
      <c r="D511" s="17">
        <v>2587</v>
      </c>
      <c r="E511" s="17">
        <v>2976</v>
      </c>
      <c r="F511" s="17">
        <v>3324</v>
      </c>
      <c r="G511" s="17">
        <v>3657</v>
      </c>
      <c r="H511" s="17">
        <v>3975</v>
      </c>
      <c r="I511" s="17">
        <v>4285</v>
      </c>
      <c r="J511" s="17">
        <v>4585</v>
      </c>
      <c r="K511" s="17">
        <v>4878</v>
      </c>
      <c r="L511" s="18">
        <v>5161</v>
      </c>
    </row>
    <row r="512" spans="2:12" ht="12.75">
      <c r="B512" s="14">
        <v>26101</v>
      </c>
      <c r="C512" s="17">
        <v>1834</v>
      </c>
      <c r="D512" s="17">
        <v>2590</v>
      </c>
      <c r="E512" s="17">
        <v>2979</v>
      </c>
      <c r="F512" s="17">
        <v>3328</v>
      </c>
      <c r="G512" s="17">
        <v>3661</v>
      </c>
      <c r="H512" s="17">
        <v>3979</v>
      </c>
      <c r="I512" s="17">
        <v>4290</v>
      </c>
      <c r="J512" s="17">
        <v>4590</v>
      </c>
      <c r="K512" s="17">
        <v>4884</v>
      </c>
      <c r="L512" s="18">
        <v>5167</v>
      </c>
    </row>
    <row r="513" spans="2:12" ht="12.75">
      <c r="B513" s="14">
        <v>26151</v>
      </c>
      <c r="C513" s="17">
        <v>1836</v>
      </c>
      <c r="D513" s="17">
        <v>2593</v>
      </c>
      <c r="E513" s="17">
        <v>2982</v>
      </c>
      <c r="F513" s="17">
        <v>3331</v>
      </c>
      <c r="G513" s="17">
        <v>3665</v>
      </c>
      <c r="H513" s="17">
        <v>3983</v>
      </c>
      <c r="I513" s="17">
        <v>4294</v>
      </c>
      <c r="J513" s="17">
        <v>4595</v>
      </c>
      <c r="K513" s="17">
        <v>4889</v>
      </c>
      <c r="L513" s="18">
        <v>5172</v>
      </c>
    </row>
    <row r="514" spans="2:12" ht="12.75">
      <c r="B514" s="14">
        <v>26201</v>
      </c>
      <c r="C514" s="17">
        <v>1838</v>
      </c>
      <c r="D514" s="17">
        <v>2596</v>
      </c>
      <c r="E514" s="17">
        <v>2986</v>
      </c>
      <c r="F514" s="17">
        <v>3335</v>
      </c>
      <c r="G514" s="17">
        <v>3668</v>
      </c>
      <c r="H514" s="17">
        <v>3988</v>
      </c>
      <c r="I514" s="17">
        <v>4299</v>
      </c>
      <c r="J514" s="17">
        <v>4599</v>
      </c>
      <c r="K514" s="17">
        <v>4894</v>
      </c>
      <c r="L514" s="18">
        <v>5178</v>
      </c>
    </row>
    <row r="515" spans="2:12" ht="12.75">
      <c r="B515" s="14">
        <v>26251</v>
      </c>
      <c r="C515" s="17">
        <v>1840</v>
      </c>
      <c r="D515" s="17">
        <v>2598</v>
      </c>
      <c r="E515" s="17">
        <v>2989</v>
      </c>
      <c r="F515" s="17">
        <v>3338</v>
      </c>
      <c r="G515" s="17">
        <v>3672</v>
      </c>
      <c r="H515" s="17">
        <v>3992</v>
      </c>
      <c r="I515" s="17">
        <v>4303</v>
      </c>
      <c r="J515" s="17">
        <v>4604</v>
      </c>
      <c r="K515" s="17">
        <v>4899</v>
      </c>
      <c r="L515" s="18">
        <v>5183</v>
      </c>
    </row>
    <row r="516" spans="2:12" ht="12.75">
      <c r="B516" s="14">
        <v>26301</v>
      </c>
      <c r="C516" s="17">
        <v>1842</v>
      </c>
      <c r="D516" s="17">
        <v>2601</v>
      </c>
      <c r="E516" s="17">
        <v>2992</v>
      </c>
      <c r="F516" s="17">
        <v>3342</v>
      </c>
      <c r="G516" s="17">
        <v>3676</v>
      </c>
      <c r="H516" s="17">
        <v>3996</v>
      </c>
      <c r="I516" s="17">
        <v>4308</v>
      </c>
      <c r="J516" s="17">
        <v>4609</v>
      </c>
      <c r="K516" s="17">
        <v>4904</v>
      </c>
      <c r="L516" s="18">
        <v>5188</v>
      </c>
    </row>
    <row r="517" spans="2:12" ht="12.75">
      <c r="B517" s="14">
        <v>26351</v>
      </c>
      <c r="C517" s="17">
        <v>1844</v>
      </c>
      <c r="D517" s="17">
        <v>2604</v>
      </c>
      <c r="E517" s="17">
        <v>2995</v>
      </c>
      <c r="F517" s="17">
        <v>3345</v>
      </c>
      <c r="G517" s="17">
        <v>3680</v>
      </c>
      <c r="H517" s="17">
        <v>4000</v>
      </c>
      <c r="I517" s="17">
        <v>4312</v>
      </c>
      <c r="J517" s="17">
        <v>4614</v>
      </c>
      <c r="K517" s="17">
        <v>4909</v>
      </c>
      <c r="L517" s="18">
        <v>5194</v>
      </c>
    </row>
    <row r="518" spans="2:12" ht="12.75">
      <c r="B518" s="14">
        <v>26401</v>
      </c>
      <c r="C518" s="17">
        <v>1846</v>
      </c>
      <c r="D518" s="17">
        <v>2607</v>
      </c>
      <c r="E518" s="17">
        <v>2998</v>
      </c>
      <c r="F518" s="17">
        <v>3349</v>
      </c>
      <c r="G518" s="17">
        <v>3684</v>
      </c>
      <c r="H518" s="17">
        <v>4004</v>
      </c>
      <c r="I518" s="17">
        <v>4317</v>
      </c>
      <c r="J518" s="17">
        <v>4619</v>
      </c>
      <c r="K518" s="17">
        <v>4914</v>
      </c>
      <c r="L518" s="18">
        <v>5199</v>
      </c>
    </row>
    <row r="519" spans="2:12" ht="12.75">
      <c r="B519" s="14">
        <v>26451</v>
      </c>
      <c r="C519" s="17">
        <v>1848</v>
      </c>
      <c r="D519" s="17">
        <v>2610</v>
      </c>
      <c r="E519" s="17">
        <v>3001</v>
      </c>
      <c r="F519" s="17">
        <v>3352</v>
      </c>
      <c r="G519" s="17">
        <v>3688</v>
      </c>
      <c r="H519" s="17">
        <v>4008</v>
      </c>
      <c r="I519" s="17">
        <v>4321</v>
      </c>
      <c r="J519" s="17">
        <v>4623</v>
      </c>
      <c r="K519" s="17">
        <v>4919</v>
      </c>
      <c r="L519" s="18">
        <v>5205</v>
      </c>
    </row>
    <row r="520" spans="2:12" ht="12.75">
      <c r="B520" s="14">
        <v>26501</v>
      </c>
      <c r="C520" s="17">
        <v>1850</v>
      </c>
      <c r="D520" s="17">
        <v>2612</v>
      </c>
      <c r="E520" s="17">
        <v>3004</v>
      </c>
      <c r="F520" s="17">
        <v>3356</v>
      </c>
      <c r="G520" s="17">
        <v>3691</v>
      </c>
      <c r="H520" s="17">
        <v>4013</v>
      </c>
      <c r="I520" s="17">
        <v>4325</v>
      </c>
      <c r="J520" s="17">
        <v>4628</v>
      </c>
      <c r="K520" s="17">
        <v>4924</v>
      </c>
      <c r="L520" s="18">
        <v>5210</v>
      </c>
    </row>
    <row r="521" spans="2:12" ht="12.75">
      <c r="B521" s="14">
        <v>26551</v>
      </c>
      <c r="C521" s="17">
        <v>1852</v>
      </c>
      <c r="D521" s="17">
        <v>2615</v>
      </c>
      <c r="E521" s="17">
        <v>3007</v>
      </c>
      <c r="F521" s="17">
        <v>3359</v>
      </c>
      <c r="G521" s="17">
        <v>3695</v>
      </c>
      <c r="H521" s="17">
        <v>4017</v>
      </c>
      <c r="I521" s="17">
        <v>4330</v>
      </c>
      <c r="J521" s="17">
        <v>4633</v>
      </c>
      <c r="K521" s="17">
        <v>4930</v>
      </c>
      <c r="L521" s="18">
        <v>5216</v>
      </c>
    </row>
    <row r="522" spans="2:12" ht="12.75">
      <c r="B522" s="14">
        <v>26601</v>
      </c>
      <c r="C522" s="17">
        <v>1854</v>
      </c>
      <c r="D522" s="17">
        <v>2618</v>
      </c>
      <c r="E522" s="17">
        <v>3011</v>
      </c>
      <c r="F522" s="17">
        <v>3363</v>
      </c>
      <c r="G522" s="17">
        <v>3699</v>
      </c>
      <c r="H522" s="17">
        <v>4021</v>
      </c>
      <c r="I522" s="17">
        <v>4334</v>
      </c>
      <c r="J522" s="17">
        <v>4638</v>
      </c>
      <c r="K522" s="17">
        <v>4935</v>
      </c>
      <c r="L522" s="18">
        <v>5221</v>
      </c>
    </row>
    <row r="523" spans="2:12" ht="12.75">
      <c r="B523" s="14">
        <v>26651</v>
      </c>
      <c r="C523" s="17">
        <v>1856</v>
      </c>
      <c r="D523" s="17">
        <v>2621</v>
      </c>
      <c r="E523" s="17">
        <v>3014</v>
      </c>
      <c r="F523" s="17">
        <v>3366</v>
      </c>
      <c r="G523" s="17">
        <v>3703</v>
      </c>
      <c r="H523" s="17">
        <v>4025</v>
      </c>
      <c r="I523" s="17">
        <v>4339</v>
      </c>
      <c r="J523" s="17">
        <v>4643</v>
      </c>
      <c r="K523" s="17">
        <v>4940</v>
      </c>
      <c r="L523" s="18">
        <v>5226</v>
      </c>
    </row>
    <row r="524" spans="2:12" ht="12.75">
      <c r="B524" s="14">
        <v>26701</v>
      </c>
      <c r="C524" s="17">
        <v>1858</v>
      </c>
      <c r="D524" s="17">
        <v>2623</v>
      </c>
      <c r="E524" s="17">
        <v>3017</v>
      </c>
      <c r="F524" s="17">
        <v>3370</v>
      </c>
      <c r="G524" s="17">
        <v>3707</v>
      </c>
      <c r="H524" s="17">
        <v>4029</v>
      </c>
      <c r="I524" s="17">
        <v>4343</v>
      </c>
      <c r="J524" s="17">
        <v>4647</v>
      </c>
      <c r="K524" s="17">
        <v>4945</v>
      </c>
      <c r="L524" s="18">
        <v>5232</v>
      </c>
    </row>
    <row r="525" spans="2:12" ht="12.75">
      <c r="B525" s="14">
        <v>26751</v>
      </c>
      <c r="C525" s="17">
        <v>1860</v>
      </c>
      <c r="D525" s="17">
        <v>2626</v>
      </c>
      <c r="E525" s="17">
        <v>3020</v>
      </c>
      <c r="F525" s="17">
        <v>3373</v>
      </c>
      <c r="G525" s="17">
        <v>3711</v>
      </c>
      <c r="H525" s="17">
        <v>4033</v>
      </c>
      <c r="I525" s="17">
        <v>4348</v>
      </c>
      <c r="J525" s="17">
        <v>4652</v>
      </c>
      <c r="K525" s="17">
        <v>4950</v>
      </c>
      <c r="L525" s="18">
        <v>5237</v>
      </c>
    </row>
    <row r="526" spans="2:12" ht="12.75">
      <c r="B526" s="14">
        <v>26801</v>
      </c>
      <c r="C526" s="17">
        <v>1862</v>
      </c>
      <c r="D526" s="17">
        <v>2629</v>
      </c>
      <c r="E526" s="17">
        <v>3023</v>
      </c>
      <c r="F526" s="17">
        <v>3377</v>
      </c>
      <c r="G526" s="17">
        <v>3714</v>
      </c>
      <c r="H526" s="17">
        <v>4037</v>
      </c>
      <c r="I526" s="17">
        <v>4352</v>
      </c>
      <c r="J526" s="17">
        <v>4657</v>
      </c>
      <c r="K526" s="17">
        <v>4955</v>
      </c>
      <c r="L526" s="18">
        <v>5243</v>
      </c>
    </row>
    <row r="527" spans="2:12" ht="12.75">
      <c r="B527" s="14">
        <v>26851</v>
      </c>
      <c r="C527" s="17">
        <v>1864</v>
      </c>
      <c r="D527" s="17">
        <v>2632</v>
      </c>
      <c r="E527" s="17">
        <v>3026</v>
      </c>
      <c r="F527" s="17">
        <v>3380</v>
      </c>
      <c r="G527" s="17">
        <v>3718</v>
      </c>
      <c r="H527" s="17">
        <v>4042</v>
      </c>
      <c r="I527" s="17">
        <v>4357</v>
      </c>
      <c r="J527" s="17">
        <v>4662</v>
      </c>
      <c r="K527" s="17">
        <v>4960</v>
      </c>
      <c r="L527" s="18">
        <v>5248</v>
      </c>
    </row>
    <row r="528" spans="2:12" ht="12.75">
      <c r="B528" s="14">
        <v>26901</v>
      </c>
      <c r="C528" s="17">
        <v>1866</v>
      </c>
      <c r="D528" s="17">
        <v>2635</v>
      </c>
      <c r="E528" s="17">
        <v>3029</v>
      </c>
      <c r="F528" s="17">
        <v>3384</v>
      </c>
      <c r="G528" s="17">
        <v>3722</v>
      </c>
      <c r="H528" s="17">
        <v>4046</v>
      </c>
      <c r="I528" s="17">
        <v>4361</v>
      </c>
      <c r="J528" s="17">
        <v>4667</v>
      </c>
      <c r="K528" s="17">
        <v>4965</v>
      </c>
      <c r="L528" s="18">
        <v>5253</v>
      </c>
    </row>
    <row r="529" spans="2:12" ht="12.75">
      <c r="B529" s="14">
        <v>26951</v>
      </c>
      <c r="C529" s="17">
        <v>1868</v>
      </c>
      <c r="D529" s="17">
        <v>2637</v>
      </c>
      <c r="E529" s="17">
        <v>3032</v>
      </c>
      <c r="F529" s="17">
        <v>3387</v>
      </c>
      <c r="G529" s="17">
        <v>3726</v>
      </c>
      <c r="H529" s="17">
        <v>4050</v>
      </c>
      <c r="I529" s="17">
        <v>4366</v>
      </c>
      <c r="J529" s="17">
        <v>4671</v>
      </c>
      <c r="K529" s="17">
        <v>4970</v>
      </c>
      <c r="L529" s="18">
        <v>5259</v>
      </c>
    </row>
    <row r="530" spans="2:12" ht="12.75">
      <c r="B530" s="14">
        <v>27001</v>
      </c>
      <c r="C530" s="17">
        <v>1870</v>
      </c>
      <c r="D530" s="17">
        <v>2640</v>
      </c>
      <c r="E530" s="17">
        <v>3035</v>
      </c>
      <c r="F530" s="17">
        <v>3391</v>
      </c>
      <c r="G530" s="17">
        <v>3730</v>
      </c>
      <c r="H530" s="17">
        <v>4054</v>
      </c>
      <c r="I530" s="17">
        <v>4370</v>
      </c>
      <c r="J530" s="17">
        <v>4676</v>
      </c>
      <c r="K530" s="17">
        <v>4976</v>
      </c>
      <c r="L530" s="18">
        <v>5264</v>
      </c>
    </row>
    <row r="531" spans="2:12" ht="12.75">
      <c r="B531" s="14">
        <v>27051</v>
      </c>
      <c r="C531" s="17">
        <v>1872</v>
      </c>
      <c r="D531" s="17">
        <v>2643</v>
      </c>
      <c r="E531" s="17">
        <v>3039</v>
      </c>
      <c r="F531" s="17">
        <v>3394</v>
      </c>
      <c r="G531" s="17">
        <v>3733</v>
      </c>
      <c r="H531" s="17">
        <v>4058</v>
      </c>
      <c r="I531" s="17">
        <v>4375</v>
      </c>
      <c r="J531" s="17">
        <v>4681</v>
      </c>
      <c r="K531" s="17">
        <v>4981</v>
      </c>
      <c r="L531" s="18">
        <v>5270</v>
      </c>
    </row>
    <row r="532" spans="2:12" ht="12.75">
      <c r="B532" s="14">
        <v>27101</v>
      </c>
      <c r="C532" s="17">
        <v>1874</v>
      </c>
      <c r="D532" s="17">
        <v>2646</v>
      </c>
      <c r="E532" s="17">
        <v>3042</v>
      </c>
      <c r="F532" s="17">
        <v>3398</v>
      </c>
      <c r="G532" s="17">
        <v>3737</v>
      </c>
      <c r="H532" s="17">
        <v>4062</v>
      </c>
      <c r="I532" s="17">
        <v>4379</v>
      </c>
      <c r="J532" s="17">
        <v>4686</v>
      </c>
      <c r="K532" s="17">
        <v>4986</v>
      </c>
      <c r="L532" s="18">
        <v>5275</v>
      </c>
    </row>
    <row r="533" spans="2:12" ht="12.75">
      <c r="B533" s="14">
        <v>27151</v>
      </c>
      <c r="C533" s="17">
        <v>1876</v>
      </c>
      <c r="D533" s="17">
        <v>2648</v>
      </c>
      <c r="E533" s="17">
        <v>3045</v>
      </c>
      <c r="F533" s="17">
        <v>3401</v>
      </c>
      <c r="G533" s="17">
        <v>3741</v>
      </c>
      <c r="H533" s="17">
        <v>4067</v>
      </c>
      <c r="I533" s="17">
        <v>4384</v>
      </c>
      <c r="J533" s="17">
        <v>4691</v>
      </c>
      <c r="K533" s="17">
        <v>4991</v>
      </c>
      <c r="L533" s="18">
        <v>5280</v>
      </c>
    </row>
    <row r="534" spans="2:12" ht="12.75">
      <c r="B534" s="14">
        <v>27201</v>
      </c>
      <c r="C534" s="17">
        <v>1878</v>
      </c>
      <c r="D534" s="17">
        <v>2651</v>
      </c>
      <c r="E534" s="17">
        <v>3048</v>
      </c>
      <c r="F534" s="17">
        <v>3405</v>
      </c>
      <c r="G534" s="17">
        <v>3745</v>
      </c>
      <c r="H534" s="17">
        <v>4071</v>
      </c>
      <c r="I534" s="17">
        <v>4388</v>
      </c>
      <c r="J534" s="17">
        <v>4696</v>
      </c>
      <c r="K534" s="17">
        <v>4996</v>
      </c>
      <c r="L534" s="18">
        <v>5286</v>
      </c>
    </row>
    <row r="535" spans="2:12" ht="12.75">
      <c r="B535" s="14">
        <v>27251</v>
      </c>
      <c r="C535" s="17">
        <v>1880</v>
      </c>
      <c r="D535" s="17">
        <v>2654</v>
      </c>
      <c r="E535" s="17">
        <v>3051</v>
      </c>
      <c r="F535" s="17">
        <v>3408</v>
      </c>
      <c r="G535" s="17">
        <v>3749</v>
      </c>
      <c r="H535" s="17">
        <v>4075</v>
      </c>
      <c r="I535" s="17">
        <v>4393</v>
      </c>
      <c r="J535" s="17">
        <v>4700</v>
      </c>
      <c r="K535" s="17">
        <v>5001</v>
      </c>
      <c r="L535" s="18">
        <v>5291</v>
      </c>
    </row>
    <row r="536" spans="2:12" ht="12.75">
      <c r="B536" s="14">
        <v>27301</v>
      </c>
      <c r="C536" s="17">
        <v>1882</v>
      </c>
      <c r="D536" s="17">
        <v>2657</v>
      </c>
      <c r="E536" s="17">
        <v>3054</v>
      </c>
      <c r="F536" s="17">
        <v>3411</v>
      </c>
      <c r="G536" s="17">
        <v>3753</v>
      </c>
      <c r="H536" s="17">
        <v>4079</v>
      </c>
      <c r="I536" s="17">
        <v>4397</v>
      </c>
      <c r="J536" s="17">
        <v>4705</v>
      </c>
      <c r="K536" s="17">
        <v>5006</v>
      </c>
      <c r="L536" s="18">
        <v>5297</v>
      </c>
    </row>
    <row r="537" spans="2:12" ht="12.75">
      <c r="B537" s="14">
        <v>27351</v>
      </c>
      <c r="C537" s="17">
        <v>1884</v>
      </c>
      <c r="D537" s="17">
        <v>2659</v>
      </c>
      <c r="E537" s="17">
        <v>3057</v>
      </c>
      <c r="F537" s="17">
        <v>3415</v>
      </c>
      <c r="G537" s="17">
        <v>3756</v>
      </c>
      <c r="H537" s="17">
        <v>4083</v>
      </c>
      <c r="I537" s="17">
        <v>4402</v>
      </c>
      <c r="J537" s="17">
        <v>4710</v>
      </c>
      <c r="K537" s="17">
        <v>5011</v>
      </c>
      <c r="L537" s="18">
        <v>5302</v>
      </c>
    </row>
    <row r="538" spans="2:12" ht="12.75">
      <c r="B538" s="14">
        <v>27401</v>
      </c>
      <c r="C538" s="17">
        <v>1886</v>
      </c>
      <c r="D538" s="17">
        <v>2662</v>
      </c>
      <c r="E538" s="17">
        <v>3060</v>
      </c>
      <c r="F538" s="17">
        <v>3418</v>
      </c>
      <c r="G538" s="17">
        <v>3760</v>
      </c>
      <c r="H538" s="17">
        <v>4087</v>
      </c>
      <c r="I538" s="17">
        <v>4406</v>
      </c>
      <c r="J538" s="17">
        <v>4715</v>
      </c>
      <c r="K538" s="17">
        <v>5016</v>
      </c>
      <c r="L538" s="18">
        <v>5307</v>
      </c>
    </row>
    <row r="539" spans="2:12" ht="12.75">
      <c r="B539" s="14">
        <v>27451</v>
      </c>
      <c r="C539" s="17">
        <v>1888</v>
      </c>
      <c r="D539" s="17">
        <v>2665</v>
      </c>
      <c r="E539" s="17">
        <v>3064</v>
      </c>
      <c r="F539" s="17">
        <v>3422</v>
      </c>
      <c r="G539" s="17">
        <v>3764</v>
      </c>
      <c r="H539" s="17">
        <v>4092</v>
      </c>
      <c r="I539" s="17">
        <v>4411</v>
      </c>
      <c r="J539" s="17">
        <v>4720</v>
      </c>
      <c r="K539" s="17">
        <v>5022</v>
      </c>
      <c r="L539" s="18">
        <v>5313</v>
      </c>
    </row>
    <row r="540" spans="2:12" ht="12.75">
      <c r="B540" s="14">
        <v>27501</v>
      </c>
      <c r="C540" s="17">
        <v>1890</v>
      </c>
      <c r="D540" s="17">
        <v>2668</v>
      </c>
      <c r="E540" s="17">
        <v>3067</v>
      </c>
      <c r="F540" s="17">
        <v>3425</v>
      </c>
      <c r="G540" s="17">
        <v>3768</v>
      </c>
      <c r="H540" s="17">
        <v>4096</v>
      </c>
      <c r="I540" s="17">
        <v>4415</v>
      </c>
      <c r="J540" s="17">
        <v>4724</v>
      </c>
      <c r="K540" s="17">
        <v>5027</v>
      </c>
      <c r="L540" s="18">
        <v>5318</v>
      </c>
    </row>
    <row r="541" spans="2:12" ht="12.75">
      <c r="B541" s="14">
        <v>27551</v>
      </c>
      <c r="C541" s="17">
        <v>1892</v>
      </c>
      <c r="D541" s="17">
        <v>2671</v>
      </c>
      <c r="E541" s="17">
        <v>3070</v>
      </c>
      <c r="F541" s="17">
        <v>3429</v>
      </c>
      <c r="G541" s="17">
        <v>3772</v>
      </c>
      <c r="H541" s="17">
        <v>4100</v>
      </c>
      <c r="I541" s="17">
        <v>4420</v>
      </c>
      <c r="J541" s="17">
        <v>4729</v>
      </c>
      <c r="K541" s="17">
        <v>5032</v>
      </c>
      <c r="L541" s="18">
        <v>5324</v>
      </c>
    </row>
    <row r="542" spans="2:12" ht="12.75">
      <c r="B542" s="14">
        <v>27601</v>
      </c>
      <c r="C542" s="17">
        <v>1894</v>
      </c>
      <c r="D542" s="17">
        <v>2673</v>
      </c>
      <c r="E542" s="17">
        <v>3073</v>
      </c>
      <c r="F542" s="17">
        <v>3432</v>
      </c>
      <c r="G542" s="17">
        <v>3776</v>
      </c>
      <c r="H542" s="17">
        <v>4104</v>
      </c>
      <c r="I542" s="17">
        <v>4424</v>
      </c>
      <c r="J542" s="17">
        <v>4734</v>
      </c>
      <c r="K542" s="17">
        <v>5037</v>
      </c>
      <c r="L542" s="18">
        <v>5329</v>
      </c>
    </row>
    <row r="543" spans="2:12" ht="12.75">
      <c r="B543" s="14">
        <v>27651</v>
      </c>
      <c r="C543" s="17">
        <v>1896</v>
      </c>
      <c r="D543" s="17">
        <v>2676</v>
      </c>
      <c r="E543" s="17">
        <v>3076</v>
      </c>
      <c r="F543" s="17">
        <v>3436</v>
      </c>
      <c r="G543" s="17">
        <v>3779</v>
      </c>
      <c r="H543" s="17">
        <v>4108</v>
      </c>
      <c r="I543" s="17">
        <v>4429</v>
      </c>
      <c r="J543" s="17">
        <v>4739</v>
      </c>
      <c r="K543" s="17">
        <v>5042</v>
      </c>
      <c r="L543" s="18">
        <v>5334</v>
      </c>
    </row>
    <row r="544" spans="2:12" ht="12.75">
      <c r="B544" s="14">
        <v>27701</v>
      </c>
      <c r="C544" s="17">
        <v>1898</v>
      </c>
      <c r="D544" s="17">
        <v>2679</v>
      </c>
      <c r="E544" s="17">
        <v>3079</v>
      </c>
      <c r="F544" s="17">
        <v>3439</v>
      </c>
      <c r="G544" s="17">
        <v>3783</v>
      </c>
      <c r="H544" s="17">
        <v>4112</v>
      </c>
      <c r="I544" s="17">
        <v>4433</v>
      </c>
      <c r="J544" s="17">
        <v>4744</v>
      </c>
      <c r="K544" s="17">
        <v>5047</v>
      </c>
      <c r="L544" s="18">
        <v>5340</v>
      </c>
    </row>
    <row r="545" spans="2:12" ht="12.75">
      <c r="B545" s="14">
        <v>27751</v>
      </c>
      <c r="C545" s="17">
        <v>1900</v>
      </c>
      <c r="D545" s="17">
        <v>2682</v>
      </c>
      <c r="E545" s="17">
        <v>3082</v>
      </c>
      <c r="F545" s="17">
        <v>3443</v>
      </c>
      <c r="G545" s="17">
        <v>3787</v>
      </c>
      <c r="H545" s="17">
        <v>4117</v>
      </c>
      <c r="I545" s="17">
        <v>4438</v>
      </c>
      <c r="J545" s="17">
        <v>4748</v>
      </c>
      <c r="K545" s="17">
        <v>5052</v>
      </c>
      <c r="L545" s="18">
        <v>5345</v>
      </c>
    </row>
    <row r="546" spans="2:12" ht="12.75">
      <c r="B546" s="14">
        <v>27801</v>
      </c>
      <c r="C546" s="17">
        <v>1902</v>
      </c>
      <c r="D546" s="17">
        <v>2684</v>
      </c>
      <c r="E546" s="17">
        <v>3085</v>
      </c>
      <c r="F546" s="17">
        <v>3446</v>
      </c>
      <c r="G546" s="17">
        <v>3791</v>
      </c>
      <c r="H546" s="17">
        <v>4121</v>
      </c>
      <c r="I546" s="17">
        <v>4442</v>
      </c>
      <c r="J546" s="17">
        <v>4753</v>
      </c>
      <c r="K546" s="17">
        <v>5057</v>
      </c>
      <c r="L546" s="18">
        <v>5351</v>
      </c>
    </row>
    <row r="547" spans="2:12" ht="12.75">
      <c r="B547" s="14">
        <v>27851</v>
      </c>
      <c r="C547" s="17">
        <v>1904</v>
      </c>
      <c r="D547" s="17">
        <v>2687</v>
      </c>
      <c r="E547" s="17">
        <v>3088</v>
      </c>
      <c r="F547" s="17">
        <v>3450</v>
      </c>
      <c r="G547" s="17">
        <v>3795</v>
      </c>
      <c r="H547" s="17">
        <v>4125</v>
      </c>
      <c r="I547" s="17">
        <v>4447</v>
      </c>
      <c r="J547" s="17">
        <v>4758</v>
      </c>
      <c r="K547" s="17">
        <v>5062</v>
      </c>
      <c r="L547" s="18">
        <v>5356</v>
      </c>
    </row>
    <row r="548" spans="2:12" ht="12.75">
      <c r="B548" s="14">
        <v>27901</v>
      </c>
      <c r="C548" s="17">
        <v>1906</v>
      </c>
      <c r="D548" s="17">
        <v>2690</v>
      </c>
      <c r="E548" s="17">
        <v>3092</v>
      </c>
      <c r="F548" s="17">
        <v>3453</v>
      </c>
      <c r="G548" s="17">
        <v>3799</v>
      </c>
      <c r="H548" s="17">
        <v>4129</v>
      </c>
      <c r="I548" s="17">
        <v>4451</v>
      </c>
      <c r="J548" s="17">
        <v>4763</v>
      </c>
      <c r="K548" s="17">
        <v>5068</v>
      </c>
      <c r="L548" s="18">
        <v>5361</v>
      </c>
    </row>
    <row r="549" spans="2:12" ht="12.75">
      <c r="B549" s="14">
        <v>27951</v>
      </c>
      <c r="C549" s="17">
        <v>1908</v>
      </c>
      <c r="D549" s="17">
        <v>2693</v>
      </c>
      <c r="E549" s="17">
        <v>3095</v>
      </c>
      <c r="F549" s="17">
        <v>3457</v>
      </c>
      <c r="G549" s="17">
        <v>3802</v>
      </c>
      <c r="H549" s="17">
        <v>4133</v>
      </c>
      <c r="I549" s="17">
        <v>4456</v>
      </c>
      <c r="J549" s="17">
        <v>4768</v>
      </c>
      <c r="K549" s="17">
        <v>5073</v>
      </c>
      <c r="L549" s="18">
        <v>5367</v>
      </c>
    </row>
    <row r="550" spans="2:12" ht="12.75">
      <c r="B550" s="14">
        <v>28001</v>
      </c>
      <c r="C550" s="17">
        <v>1910</v>
      </c>
      <c r="D550" s="17">
        <v>2696</v>
      </c>
      <c r="E550" s="17">
        <v>3098</v>
      </c>
      <c r="F550" s="17">
        <v>3460</v>
      </c>
      <c r="G550" s="17">
        <v>3806</v>
      </c>
      <c r="H550" s="17">
        <v>4137</v>
      </c>
      <c r="I550" s="17">
        <v>4460</v>
      </c>
      <c r="J550" s="17">
        <v>4772</v>
      </c>
      <c r="K550" s="17">
        <v>5078</v>
      </c>
      <c r="L550" s="18">
        <v>5372</v>
      </c>
    </row>
    <row r="551" spans="2:12" ht="12.75">
      <c r="B551" s="14">
        <v>28051</v>
      </c>
      <c r="C551" s="17">
        <v>1912</v>
      </c>
      <c r="D551" s="17">
        <v>2698</v>
      </c>
      <c r="E551" s="17">
        <v>3101</v>
      </c>
      <c r="F551" s="17">
        <v>3464</v>
      </c>
      <c r="G551" s="17">
        <v>3810</v>
      </c>
      <c r="H551" s="17">
        <v>4142</v>
      </c>
      <c r="I551" s="17">
        <v>4465</v>
      </c>
      <c r="J551" s="17">
        <v>4777</v>
      </c>
      <c r="K551" s="17">
        <v>5083</v>
      </c>
      <c r="L551" s="18">
        <v>5378</v>
      </c>
    </row>
    <row r="552" spans="2:12" ht="12.75">
      <c r="B552" s="14">
        <v>28101</v>
      </c>
      <c r="C552" s="17">
        <v>1914</v>
      </c>
      <c r="D552" s="17">
        <v>2701</v>
      </c>
      <c r="E552" s="17">
        <v>3104</v>
      </c>
      <c r="F552" s="17">
        <v>3467</v>
      </c>
      <c r="G552" s="17">
        <v>3814</v>
      </c>
      <c r="H552" s="17">
        <v>4146</v>
      </c>
      <c r="I552" s="17">
        <v>4469</v>
      </c>
      <c r="J552" s="17">
        <v>4782</v>
      </c>
      <c r="K552" s="17">
        <v>5088</v>
      </c>
      <c r="L552" s="18">
        <v>5383</v>
      </c>
    </row>
    <row r="553" spans="2:12" ht="12.75">
      <c r="B553" s="14">
        <v>28151</v>
      </c>
      <c r="C553" s="17">
        <v>1916</v>
      </c>
      <c r="D553" s="17">
        <v>2704</v>
      </c>
      <c r="E553" s="17">
        <v>3107</v>
      </c>
      <c r="F553" s="17">
        <v>3471</v>
      </c>
      <c r="G553" s="17">
        <v>3818</v>
      </c>
      <c r="H553" s="17">
        <v>4150</v>
      </c>
      <c r="I553" s="17">
        <v>4474</v>
      </c>
      <c r="J553" s="17">
        <v>4787</v>
      </c>
      <c r="K553" s="17">
        <v>5093</v>
      </c>
      <c r="L553" s="18">
        <v>5388</v>
      </c>
    </row>
    <row r="554" spans="2:12" ht="12.75">
      <c r="B554" s="14">
        <v>28201</v>
      </c>
      <c r="C554" s="17">
        <v>1918</v>
      </c>
      <c r="D554" s="17">
        <v>2707</v>
      </c>
      <c r="E554" s="17">
        <v>3110</v>
      </c>
      <c r="F554" s="17">
        <v>3474</v>
      </c>
      <c r="G554" s="17">
        <v>3822</v>
      </c>
      <c r="H554" s="17">
        <v>4154</v>
      </c>
      <c r="I554" s="17">
        <v>4478</v>
      </c>
      <c r="J554" s="17">
        <v>4792</v>
      </c>
      <c r="K554" s="17">
        <v>5098</v>
      </c>
      <c r="L554" s="18">
        <v>5394</v>
      </c>
    </row>
    <row r="555" spans="2:12" ht="12.75">
      <c r="B555" s="14">
        <v>28251</v>
      </c>
      <c r="C555" s="17">
        <v>1920</v>
      </c>
      <c r="D555" s="17">
        <v>2709</v>
      </c>
      <c r="E555" s="17">
        <v>3113</v>
      </c>
      <c r="F555" s="17">
        <v>3478</v>
      </c>
      <c r="G555" s="17">
        <v>3825</v>
      </c>
      <c r="H555" s="17">
        <v>4158</v>
      </c>
      <c r="I555" s="17">
        <v>4483</v>
      </c>
      <c r="J555" s="17">
        <v>4796</v>
      </c>
      <c r="K555" s="17">
        <v>5103</v>
      </c>
      <c r="L555" s="18">
        <v>5399</v>
      </c>
    </row>
    <row r="556" spans="2:12" ht="12.75">
      <c r="B556" s="14">
        <v>28301</v>
      </c>
      <c r="C556" s="17">
        <v>1922</v>
      </c>
      <c r="D556" s="17">
        <v>2712</v>
      </c>
      <c r="E556" s="17">
        <v>3116</v>
      </c>
      <c r="F556" s="17">
        <v>3481</v>
      </c>
      <c r="G556" s="17">
        <v>3829</v>
      </c>
      <c r="H556" s="17">
        <v>4162</v>
      </c>
      <c r="I556" s="17">
        <v>4487</v>
      </c>
      <c r="J556" s="17">
        <v>4801</v>
      </c>
      <c r="K556" s="17">
        <v>5108</v>
      </c>
      <c r="L556" s="18">
        <v>5405</v>
      </c>
    </row>
    <row r="557" spans="2:12" ht="12.75">
      <c r="B557" s="14">
        <v>28351</v>
      </c>
      <c r="C557" s="17">
        <v>1924</v>
      </c>
      <c r="D557" s="17">
        <v>2715</v>
      </c>
      <c r="E557" s="17">
        <v>3120</v>
      </c>
      <c r="F557" s="17">
        <v>3485</v>
      </c>
      <c r="G557" s="17">
        <v>3833</v>
      </c>
      <c r="H557" s="17">
        <v>4167</v>
      </c>
      <c r="I557" s="17">
        <v>4492</v>
      </c>
      <c r="J557" s="17">
        <v>4806</v>
      </c>
      <c r="K557" s="17">
        <v>5114</v>
      </c>
      <c r="L557" s="18">
        <v>5410</v>
      </c>
    </row>
    <row r="558" spans="2:12" ht="12.75">
      <c r="B558" s="14">
        <v>28401</v>
      </c>
      <c r="C558" s="17">
        <v>1926</v>
      </c>
      <c r="D558" s="17">
        <v>2718</v>
      </c>
      <c r="E558" s="17">
        <v>3123</v>
      </c>
      <c r="F558" s="17">
        <v>3488</v>
      </c>
      <c r="G558" s="17">
        <v>3837</v>
      </c>
      <c r="H558" s="17">
        <v>4171</v>
      </c>
      <c r="I558" s="17">
        <v>4496</v>
      </c>
      <c r="J558" s="17">
        <v>4811</v>
      </c>
      <c r="K558" s="17">
        <v>5119</v>
      </c>
      <c r="L558" s="18">
        <v>5416</v>
      </c>
    </row>
    <row r="559" spans="2:12" ht="12.75">
      <c r="B559" s="14">
        <v>28451</v>
      </c>
      <c r="C559" s="17">
        <v>1928</v>
      </c>
      <c r="D559" s="17">
        <v>2720</v>
      </c>
      <c r="E559" s="17">
        <v>3126</v>
      </c>
      <c r="F559" s="17">
        <v>3492</v>
      </c>
      <c r="G559" s="17">
        <v>3841</v>
      </c>
      <c r="H559" s="17">
        <v>4175</v>
      </c>
      <c r="I559" s="17">
        <v>4501</v>
      </c>
      <c r="J559" s="17">
        <v>4816</v>
      </c>
      <c r="K559" s="17">
        <v>5124</v>
      </c>
      <c r="L559" s="18">
        <v>5421</v>
      </c>
    </row>
    <row r="560" spans="2:12" ht="12.75">
      <c r="B560" s="14">
        <v>28501</v>
      </c>
      <c r="C560" s="17">
        <v>1930</v>
      </c>
      <c r="D560" s="17">
        <v>2723</v>
      </c>
      <c r="E560" s="17">
        <v>3129</v>
      </c>
      <c r="F560" s="17">
        <v>3495</v>
      </c>
      <c r="G560" s="17">
        <v>3845</v>
      </c>
      <c r="H560" s="17">
        <v>4179</v>
      </c>
      <c r="I560" s="17">
        <v>4505</v>
      </c>
      <c r="J560" s="17">
        <v>4820</v>
      </c>
      <c r="K560" s="17">
        <v>5129</v>
      </c>
      <c r="L560" s="18">
        <v>5426</v>
      </c>
    </row>
    <row r="561" spans="2:12" ht="12.75">
      <c r="B561" s="14">
        <v>28551</v>
      </c>
      <c r="C561" s="17">
        <v>1932</v>
      </c>
      <c r="D561" s="17">
        <v>2726</v>
      </c>
      <c r="E561" s="17">
        <v>3132</v>
      </c>
      <c r="F561" s="17">
        <v>3499</v>
      </c>
      <c r="G561" s="17">
        <v>3848</v>
      </c>
      <c r="H561" s="17">
        <v>4183</v>
      </c>
      <c r="I561" s="17">
        <v>4509</v>
      </c>
      <c r="J561" s="17">
        <v>4825</v>
      </c>
      <c r="K561" s="17">
        <v>5134</v>
      </c>
      <c r="L561" s="18">
        <v>5432</v>
      </c>
    </row>
    <row r="562" spans="2:12" ht="12.75">
      <c r="B562" s="14">
        <v>28601</v>
      </c>
      <c r="C562" s="17">
        <v>1934</v>
      </c>
      <c r="D562" s="17">
        <v>2729</v>
      </c>
      <c r="E562" s="17">
        <v>3135</v>
      </c>
      <c r="F562" s="17">
        <v>3502</v>
      </c>
      <c r="G562" s="17">
        <v>3852</v>
      </c>
      <c r="H562" s="17">
        <v>4187</v>
      </c>
      <c r="I562" s="17">
        <v>4514</v>
      </c>
      <c r="J562" s="17">
        <v>4830</v>
      </c>
      <c r="K562" s="17">
        <v>5139</v>
      </c>
      <c r="L562" s="18">
        <v>5437</v>
      </c>
    </row>
    <row r="563" spans="2:12" ht="12.75">
      <c r="B563" s="14">
        <v>28651</v>
      </c>
      <c r="C563" s="17">
        <v>1936</v>
      </c>
      <c r="D563" s="17">
        <v>2732</v>
      </c>
      <c r="E563" s="17">
        <v>3138</v>
      </c>
      <c r="F563" s="17">
        <v>3506</v>
      </c>
      <c r="G563" s="17">
        <v>3856</v>
      </c>
      <c r="H563" s="17">
        <v>4192</v>
      </c>
      <c r="I563" s="17">
        <v>4518</v>
      </c>
      <c r="J563" s="17">
        <v>4835</v>
      </c>
      <c r="K563" s="17">
        <v>5144</v>
      </c>
      <c r="L563" s="18">
        <v>5443</v>
      </c>
    </row>
    <row r="564" spans="2:12" ht="12.75">
      <c r="B564" s="14">
        <v>28701</v>
      </c>
      <c r="C564" s="17">
        <v>1938</v>
      </c>
      <c r="D564" s="17">
        <v>2734</v>
      </c>
      <c r="E564" s="17">
        <v>3141</v>
      </c>
      <c r="F564" s="17">
        <v>3509</v>
      </c>
      <c r="G564" s="17">
        <v>3860</v>
      </c>
      <c r="H564" s="17">
        <v>4196</v>
      </c>
      <c r="I564" s="17">
        <v>4523</v>
      </c>
      <c r="J564" s="17">
        <v>4840</v>
      </c>
      <c r="K564" s="17">
        <v>5149</v>
      </c>
      <c r="L564" s="18">
        <v>5448</v>
      </c>
    </row>
    <row r="565" spans="2:12" ht="12.75">
      <c r="B565" s="14">
        <v>28751</v>
      </c>
      <c r="C565" s="17">
        <v>1940</v>
      </c>
      <c r="D565" s="17">
        <v>2737</v>
      </c>
      <c r="E565" s="17">
        <v>3144</v>
      </c>
      <c r="F565" s="17">
        <v>3512</v>
      </c>
      <c r="G565" s="17">
        <v>3864</v>
      </c>
      <c r="H565" s="17">
        <v>4200</v>
      </c>
      <c r="I565" s="17">
        <v>4527</v>
      </c>
      <c r="J565" s="17">
        <v>4844</v>
      </c>
      <c r="K565" s="17">
        <v>5154</v>
      </c>
      <c r="L565" s="18">
        <v>5453</v>
      </c>
    </row>
    <row r="566" spans="2:12" ht="12.75">
      <c r="B566" s="14">
        <v>28801</v>
      </c>
      <c r="C566" s="17">
        <v>1942</v>
      </c>
      <c r="D566" s="17">
        <v>2740</v>
      </c>
      <c r="E566" s="17">
        <v>3147</v>
      </c>
      <c r="F566" s="17">
        <v>3516</v>
      </c>
      <c r="G566" s="17">
        <v>3867</v>
      </c>
      <c r="H566" s="17">
        <v>4204</v>
      </c>
      <c r="I566" s="17">
        <v>4532</v>
      </c>
      <c r="J566" s="17">
        <v>4849</v>
      </c>
      <c r="K566" s="17">
        <v>5159</v>
      </c>
      <c r="L566" s="18">
        <v>5458</v>
      </c>
    </row>
    <row r="567" spans="2:12" ht="12.75">
      <c r="B567" s="14">
        <v>28851</v>
      </c>
      <c r="C567" s="17">
        <v>1944</v>
      </c>
      <c r="D567" s="17">
        <v>2742</v>
      </c>
      <c r="E567" s="17">
        <v>3150</v>
      </c>
      <c r="F567" s="17">
        <v>3519</v>
      </c>
      <c r="G567" s="17">
        <v>3871</v>
      </c>
      <c r="H567" s="17">
        <v>4208</v>
      </c>
      <c r="I567" s="17">
        <v>4536</v>
      </c>
      <c r="J567" s="17">
        <v>4853</v>
      </c>
      <c r="K567" s="17">
        <v>5164</v>
      </c>
      <c r="L567" s="18">
        <v>5464</v>
      </c>
    </row>
    <row r="568" spans="2:12" ht="12.75">
      <c r="B568" s="14">
        <v>28901</v>
      </c>
      <c r="C568" s="17">
        <v>1946</v>
      </c>
      <c r="D568" s="17">
        <v>2745</v>
      </c>
      <c r="E568" s="17">
        <v>3153</v>
      </c>
      <c r="F568" s="17">
        <v>3522</v>
      </c>
      <c r="G568" s="17">
        <v>3875</v>
      </c>
      <c r="H568" s="17">
        <v>4212</v>
      </c>
      <c r="I568" s="17">
        <v>4540</v>
      </c>
      <c r="J568" s="17">
        <v>4858</v>
      </c>
      <c r="K568" s="17">
        <v>5169</v>
      </c>
      <c r="L568" s="18">
        <v>5469</v>
      </c>
    </row>
    <row r="569" spans="2:12" ht="12.75">
      <c r="B569" s="14">
        <v>28951</v>
      </c>
      <c r="C569" s="17">
        <v>1948</v>
      </c>
      <c r="D569" s="17">
        <v>2748</v>
      </c>
      <c r="E569" s="17">
        <v>3156</v>
      </c>
      <c r="F569" s="17">
        <v>3526</v>
      </c>
      <c r="G569" s="17">
        <v>3878</v>
      </c>
      <c r="H569" s="17">
        <v>4216</v>
      </c>
      <c r="I569" s="17">
        <v>4545</v>
      </c>
      <c r="J569" s="17">
        <v>4863</v>
      </c>
      <c r="K569" s="17">
        <v>5174</v>
      </c>
      <c r="L569" s="18">
        <v>5474</v>
      </c>
    </row>
    <row r="570" spans="2:12" ht="12.75">
      <c r="B570" s="14">
        <v>29001</v>
      </c>
      <c r="C570" s="17">
        <v>1950</v>
      </c>
      <c r="D570" s="17">
        <v>2750</v>
      </c>
      <c r="E570" s="17">
        <v>3159</v>
      </c>
      <c r="F570" s="17">
        <v>3529</v>
      </c>
      <c r="G570" s="17">
        <v>3882</v>
      </c>
      <c r="H570" s="17">
        <v>4220</v>
      </c>
      <c r="I570" s="17">
        <v>4549</v>
      </c>
      <c r="J570" s="17">
        <v>4867</v>
      </c>
      <c r="K570" s="17">
        <v>5179</v>
      </c>
      <c r="L570" s="18">
        <v>5479</v>
      </c>
    </row>
    <row r="571" spans="2:12" ht="12.75">
      <c r="B571" s="14">
        <v>29051</v>
      </c>
      <c r="C571" s="17">
        <v>1952</v>
      </c>
      <c r="D571" s="17">
        <v>2753</v>
      </c>
      <c r="E571" s="17">
        <v>3162</v>
      </c>
      <c r="F571" s="17">
        <v>3532</v>
      </c>
      <c r="G571" s="17">
        <v>3886</v>
      </c>
      <c r="H571" s="17">
        <v>4224</v>
      </c>
      <c r="I571" s="17">
        <v>4553</v>
      </c>
      <c r="J571" s="17">
        <v>4872</v>
      </c>
      <c r="K571" s="17">
        <v>5184</v>
      </c>
      <c r="L571" s="18">
        <v>5484</v>
      </c>
    </row>
    <row r="572" spans="2:12" ht="12.75">
      <c r="B572" s="14">
        <v>29101</v>
      </c>
      <c r="C572" s="17">
        <v>1954</v>
      </c>
      <c r="D572" s="17">
        <v>2756</v>
      </c>
      <c r="E572" s="17">
        <v>3165</v>
      </c>
      <c r="F572" s="17">
        <v>3536</v>
      </c>
      <c r="G572" s="17">
        <v>3889</v>
      </c>
      <c r="H572" s="17">
        <v>4228</v>
      </c>
      <c r="I572" s="17">
        <v>4558</v>
      </c>
      <c r="J572" s="17">
        <v>4877</v>
      </c>
      <c r="K572" s="17">
        <v>5189</v>
      </c>
      <c r="L572" s="18">
        <v>5490</v>
      </c>
    </row>
    <row r="573" spans="2:12" ht="12.75">
      <c r="B573" s="14">
        <v>29151</v>
      </c>
      <c r="C573" s="17">
        <v>1956</v>
      </c>
      <c r="D573" s="17">
        <v>2758</v>
      </c>
      <c r="E573" s="17">
        <v>3168</v>
      </c>
      <c r="F573" s="17">
        <v>3539</v>
      </c>
      <c r="G573" s="17">
        <v>3893</v>
      </c>
      <c r="H573" s="17">
        <v>4232</v>
      </c>
      <c r="I573" s="17">
        <v>4562</v>
      </c>
      <c r="J573" s="17">
        <v>4881</v>
      </c>
      <c r="K573" s="17">
        <v>5194</v>
      </c>
      <c r="L573" s="18">
        <v>5495</v>
      </c>
    </row>
    <row r="574" spans="2:12" ht="12.75">
      <c r="B574" s="14">
        <v>29201</v>
      </c>
      <c r="C574" s="17">
        <v>1958</v>
      </c>
      <c r="D574" s="17">
        <v>2761</v>
      </c>
      <c r="E574" s="17">
        <v>3172</v>
      </c>
      <c r="F574" s="17">
        <v>3543</v>
      </c>
      <c r="G574" s="17">
        <v>3897</v>
      </c>
      <c r="H574" s="17">
        <v>4236</v>
      </c>
      <c r="I574" s="17">
        <v>4566</v>
      </c>
      <c r="J574" s="17">
        <v>4886</v>
      </c>
      <c r="K574" s="17">
        <v>5199</v>
      </c>
      <c r="L574" s="18">
        <v>5500</v>
      </c>
    </row>
    <row r="575" spans="2:12" ht="12.75">
      <c r="B575" s="14">
        <v>29251</v>
      </c>
      <c r="C575" s="17">
        <v>1960</v>
      </c>
      <c r="D575" s="17">
        <v>2764</v>
      </c>
      <c r="E575" s="17">
        <v>3175</v>
      </c>
      <c r="F575" s="17">
        <v>3546</v>
      </c>
      <c r="G575" s="17">
        <v>3901</v>
      </c>
      <c r="H575" s="17">
        <v>4240</v>
      </c>
      <c r="I575" s="17">
        <v>4571</v>
      </c>
      <c r="J575" s="17">
        <v>4891</v>
      </c>
      <c r="K575" s="17">
        <v>5204</v>
      </c>
      <c r="L575" s="18">
        <v>5505</v>
      </c>
    </row>
    <row r="576" spans="2:12" ht="12.75">
      <c r="B576" s="14">
        <v>29301</v>
      </c>
      <c r="C576" s="17">
        <v>1961</v>
      </c>
      <c r="D576" s="17">
        <v>2766</v>
      </c>
      <c r="E576" s="17">
        <v>3178</v>
      </c>
      <c r="F576" s="17">
        <v>3549</v>
      </c>
      <c r="G576" s="17">
        <v>3904</v>
      </c>
      <c r="H576" s="17">
        <v>4244</v>
      </c>
      <c r="I576" s="17">
        <v>4575</v>
      </c>
      <c r="J576" s="17">
        <v>4895</v>
      </c>
      <c r="K576" s="17">
        <v>5208</v>
      </c>
      <c r="L576" s="18">
        <v>5511</v>
      </c>
    </row>
    <row r="577" spans="2:12" ht="12.75">
      <c r="B577" s="14">
        <v>29351</v>
      </c>
      <c r="C577" s="17">
        <v>1963</v>
      </c>
      <c r="D577" s="17">
        <v>2769</v>
      </c>
      <c r="E577" s="17">
        <v>3181</v>
      </c>
      <c r="F577" s="17">
        <v>3553</v>
      </c>
      <c r="G577" s="17">
        <v>3908</v>
      </c>
      <c r="H577" s="17">
        <v>4248</v>
      </c>
      <c r="I577" s="17">
        <v>4579</v>
      </c>
      <c r="J577" s="17">
        <v>4900</v>
      </c>
      <c r="K577" s="17">
        <v>5213</v>
      </c>
      <c r="L577" s="18">
        <v>5516</v>
      </c>
    </row>
    <row r="578" spans="2:12" ht="12.75">
      <c r="B578" s="14">
        <v>29401</v>
      </c>
      <c r="C578" s="17">
        <v>1965</v>
      </c>
      <c r="D578" s="17">
        <v>2772</v>
      </c>
      <c r="E578" s="17">
        <v>3184</v>
      </c>
      <c r="F578" s="17">
        <v>3556</v>
      </c>
      <c r="G578" s="17">
        <v>3912</v>
      </c>
      <c r="H578" s="17">
        <v>4252</v>
      </c>
      <c r="I578" s="17">
        <v>4584</v>
      </c>
      <c r="J578" s="17">
        <v>4904</v>
      </c>
      <c r="K578" s="17">
        <v>5218</v>
      </c>
      <c r="L578" s="18">
        <v>5521</v>
      </c>
    </row>
    <row r="579" spans="2:12" ht="12.75">
      <c r="B579" s="14">
        <v>29451</v>
      </c>
      <c r="C579" s="17">
        <v>1967</v>
      </c>
      <c r="D579" s="17">
        <v>2774</v>
      </c>
      <c r="E579" s="17">
        <v>3187</v>
      </c>
      <c r="F579" s="17">
        <v>3559</v>
      </c>
      <c r="G579" s="17">
        <v>3915</v>
      </c>
      <c r="H579" s="17">
        <v>4256</v>
      </c>
      <c r="I579" s="17">
        <v>4588</v>
      </c>
      <c r="J579" s="17">
        <v>4909</v>
      </c>
      <c r="K579" s="17">
        <v>5223</v>
      </c>
      <c r="L579" s="18">
        <v>5526</v>
      </c>
    </row>
    <row r="580" spans="2:12" ht="12.75">
      <c r="B580" s="14">
        <v>29501</v>
      </c>
      <c r="C580" s="17">
        <v>1969</v>
      </c>
      <c r="D580" s="17">
        <v>2777</v>
      </c>
      <c r="E580" s="17">
        <v>3190</v>
      </c>
      <c r="F580" s="17">
        <v>3563</v>
      </c>
      <c r="G580" s="17">
        <v>3919</v>
      </c>
      <c r="H580" s="17">
        <v>4260</v>
      </c>
      <c r="I580" s="17">
        <v>4592</v>
      </c>
      <c r="J580" s="17">
        <v>4914</v>
      </c>
      <c r="K580" s="17">
        <v>5228</v>
      </c>
      <c r="L580" s="18">
        <v>5531</v>
      </c>
    </row>
    <row r="581" spans="2:12" ht="12.75">
      <c r="B581" s="14">
        <v>29551</v>
      </c>
      <c r="C581" s="17">
        <v>1971</v>
      </c>
      <c r="D581" s="17">
        <v>2780</v>
      </c>
      <c r="E581" s="17">
        <v>3193</v>
      </c>
      <c r="F581" s="17">
        <v>3566</v>
      </c>
      <c r="G581" s="17">
        <v>3923</v>
      </c>
      <c r="H581" s="17">
        <v>4264</v>
      </c>
      <c r="I581" s="17">
        <v>4597</v>
      </c>
      <c r="J581" s="17">
        <v>4918</v>
      </c>
      <c r="K581" s="17">
        <v>5233</v>
      </c>
      <c r="L581" s="18">
        <v>5537</v>
      </c>
    </row>
    <row r="582" spans="2:12" ht="12.75">
      <c r="B582" s="14">
        <v>29601</v>
      </c>
      <c r="C582" s="17">
        <v>1973</v>
      </c>
      <c r="D582" s="17">
        <v>2783</v>
      </c>
      <c r="E582" s="17">
        <v>3196</v>
      </c>
      <c r="F582" s="17">
        <v>3569</v>
      </c>
      <c r="G582" s="17">
        <v>3926</v>
      </c>
      <c r="H582" s="17">
        <v>4268</v>
      </c>
      <c r="I582" s="17">
        <v>4601</v>
      </c>
      <c r="J582" s="17">
        <v>4923</v>
      </c>
      <c r="K582" s="17">
        <v>5238</v>
      </c>
      <c r="L582" s="18">
        <v>5542</v>
      </c>
    </row>
    <row r="583" spans="2:12" ht="12.75">
      <c r="B583" s="14">
        <v>29651</v>
      </c>
      <c r="C583" s="17">
        <v>1975</v>
      </c>
      <c r="D583" s="17">
        <v>2785</v>
      </c>
      <c r="E583" s="17">
        <v>3199</v>
      </c>
      <c r="F583" s="17">
        <v>3573</v>
      </c>
      <c r="G583" s="17">
        <v>3930</v>
      </c>
      <c r="H583" s="17">
        <v>4272</v>
      </c>
      <c r="I583" s="17">
        <v>4605</v>
      </c>
      <c r="J583" s="17">
        <v>4928</v>
      </c>
      <c r="K583" s="17">
        <v>5243</v>
      </c>
      <c r="L583" s="18">
        <v>5547</v>
      </c>
    </row>
    <row r="584" spans="2:12" ht="12.75">
      <c r="B584" s="14">
        <v>29701</v>
      </c>
      <c r="C584" s="17">
        <v>1977</v>
      </c>
      <c r="D584" s="17">
        <v>2788</v>
      </c>
      <c r="E584" s="17">
        <v>3202</v>
      </c>
      <c r="F584" s="17">
        <v>3576</v>
      </c>
      <c r="G584" s="17">
        <v>3934</v>
      </c>
      <c r="H584" s="17">
        <v>4276</v>
      </c>
      <c r="I584" s="17">
        <v>4610</v>
      </c>
      <c r="J584" s="17">
        <v>4932</v>
      </c>
      <c r="K584" s="17">
        <v>5248</v>
      </c>
      <c r="L584" s="18">
        <v>5552</v>
      </c>
    </row>
    <row r="585" spans="2:12" ht="12.75">
      <c r="B585" s="14">
        <v>29751</v>
      </c>
      <c r="C585" s="17">
        <v>1979</v>
      </c>
      <c r="D585" s="17">
        <v>2791</v>
      </c>
      <c r="E585" s="17">
        <v>3205</v>
      </c>
      <c r="F585" s="17">
        <v>3580</v>
      </c>
      <c r="G585" s="17">
        <v>3937</v>
      </c>
      <c r="H585" s="17">
        <v>4280</v>
      </c>
      <c r="I585" s="17">
        <v>4614</v>
      </c>
      <c r="J585" s="17">
        <v>4937</v>
      </c>
      <c r="K585" s="17">
        <v>5253</v>
      </c>
      <c r="L585" s="18">
        <v>5557</v>
      </c>
    </row>
    <row r="586" spans="2:12" ht="12.75">
      <c r="B586" s="14">
        <v>29801</v>
      </c>
      <c r="C586" s="17">
        <v>1981</v>
      </c>
      <c r="D586" s="17">
        <v>2793</v>
      </c>
      <c r="E586" s="17">
        <v>3208</v>
      </c>
      <c r="F586" s="17">
        <v>3583</v>
      </c>
      <c r="G586" s="17">
        <v>3941</v>
      </c>
      <c r="H586" s="17">
        <v>4284</v>
      </c>
      <c r="I586" s="17">
        <v>4618</v>
      </c>
      <c r="J586" s="17">
        <v>4941</v>
      </c>
      <c r="K586" s="17">
        <v>5258</v>
      </c>
      <c r="L586" s="18">
        <v>5563</v>
      </c>
    </row>
    <row r="587" spans="2:12" ht="12.75">
      <c r="B587" s="14">
        <v>29851</v>
      </c>
      <c r="C587" s="17">
        <v>1983</v>
      </c>
      <c r="D587" s="17">
        <v>2796</v>
      </c>
      <c r="E587" s="17">
        <v>3211</v>
      </c>
      <c r="F587" s="17">
        <v>3586</v>
      </c>
      <c r="G587" s="17">
        <v>3945</v>
      </c>
      <c r="H587" s="17">
        <v>4288</v>
      </c>
      <c r="I587" s="17">
        <v>4623</v>
      </c>
      <c r="J587" s="17">
        <v>4946</v>
      </c>
      <c r="K587" s="17">
        <v>5263</v>
      </c>
      <c r="L587" s="18">
        <v>5568</v>
      </c>
    </row>
    <row r="588" spans="2:12" ht="12.75">
      <c r="B588" s="14">
        <v>29901</v>
      </c>
      <c r="C588" s="17">
        <v>1985</v>
      </c>
      <c r="D588" s="17">
        <v>2799</v>
      </c>
      <c r="E588" s="17">
        <v>3214</v>
      </c>
      <c r="F588" s="17">
        <v>3590</v>
      </c>
      <c r="G588" s="17">
        <v>3949</v>
      </c>
      <c r="H588" s="17">
        <v>4292</v>
      </c>
      <c r="I588" s="17">
        <v>4627</v>
      </c>
      <c r="J588" s="17">
        <v>4951</v>
      </c>
      <c r="K588" s="17">
        <v>5268</v>
      </c>
      <c r="L588" s="18">
        <v>5573</v>
      </c>
    </row>
    <row r="589" spans="2:12" ht="13.5" thickBot="1">
      <c r="B589" s="19">
        <v>29951</v>
      </c>
      <c r="C589" s="20">
        <v>1987</v>
      </c>
      <c r="D589" s="20">
        <v>2801</v>
      </c>
      <c r="E589" s="20">
        <v>3217</v>
      </c>
      <c r="F589" s="20">
        <v>3593</v>
      </c>
      <c r="G589" s="20">
        <v>3952</v>
      </c>
      <c r="H589" s="20">
        <v>4296</v>
      </c>
      <c r="I589" s="20">
        <v>4631</v>
      </c>
      <c r="J589" s="20">
        <v>4955</v>
      </c>
      <c r="K589" s="20">
        <v>5273</v>
      </c>
      <c r="L589" s="21">
        <v>5578</v>
      </c>
    </row>
    <row r="590" ht="15.75">
      <c r="B590" s="22"/>
    </row>
  </sheetData>
  <sheetProtection password="8AB2" sheet="1" objects="1" scenarios="1" selectLockedCells="1" selectUnlockedCells="1"/>
  <mergeCells count="2">
    <mergeCell ref="B3:B8"/>
    <mergeCell ref="C7:L7"/>
  </mergeCells>
  <printOptions horizontalCentered="1"/>
  <pageMargins left="1.5" right="1.5" top="0.5" bottom="0.5" header="0" footer="0"/>
  <pageSetup fitToHeight="999"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codeName="Sheet4"/>
  <dimension ref="B1:S46"/>
  <sheetViews>
    <sheetView showGridLines="0" zoomScale="125" zoomScaleNormal="125" zoomScaleSheetLayoutView="100" workbookViewId="0" topLeftCell="A1">
      <selection activeCell="F5" sqref="F5"/>
    </sheetView>
  </sheetViews>
  <sheetFormatPr defaultColWidth="9.140625" defaultRowHeight="12.75"/>
  <cols>
    <col min="1" max="1" width="2.8515625" style="1" customWidth="1"/>
    <col min="2" max="2" width="10.140625" style="1" customWidth="1"/>
    <col min="3" max="3" width="13.57421875" style="1" customWidth="1"/>
    <col min="4" max="4" width="4.8515625" style="1" customWidth="1"/>
    <col min="5" max="5" width="11.57421875" style="1" customWidth="1"/>
    <col min="6" max="6" width="13.140625" style="1" customWidth="1"/>
    <col min="7" max="7" width="2.140625" style="1" customWidth="1"/>
    <col min="8" max="8" width="3.28125" style="1" customWidth="1"/>
    <col min="9" max="9" width="9.00390625" style="1" customWidth="1"/>
    <col min="10" max="11" width="9.140625" style="1" customWidth="1"/>
    <col min="12" max="12" width="14.421875" style="1" bestFit="1" customWidth="1"/>
    <col min="13" max="16384" width="9.140625" style="1" customWidth="1"/>
  </cols>
  <sheetData>
    <row r="1" spans="2:19" ht="12.75">
      <c r="B1" s="388" t="s">
        <v>368</v>
      </c>
      <c r="E1" s="387" t="s">
        <v>48</v>
      </c>
      <c r="L1" s="595"/>
      <c r="M1" s="595"/>
      <c r="N1" s="595"/>
      <c r="O1" s="595"/>
      <c r="P1" s="595"/>
      <c r="Q1" s="595"/>
      <c r="R1" s="595"/>
      <c r="S1" s="595"/>
    </row>
    <row r="2" spans="12:19" ht="13.5" thickBot="1">
      <c r="L2" s="595"/>
      <c r="M2" s="595"/>
      <c r="N2" s="595"/>
      <c r="O2" s="595"/>
      <c r="P2" s="595"/>
      <c r="Q2" s="595"/>
      <c r="R2" s="595"/>
      <c r="S2" s="595"/>
    </row>
    <row r="3" spans="2:19" ht="15">
      <c r="B3" s="39" t="s">
        <v>45</v>
      </c>
      <c r="C3" s="382">
        <f ca="1">IF(NOW()&lt;B32,YEAR(B31),IF(NOW()&lt;B33,YEAR(B32),IF(NOW()&lt;B34,YEAR(B33),IF(NOW()&lt;B35,YEAR(B34),IF(NOW()&lt;B36,YEAR(B35),IF(NOW()&lt;B37,B36,YEAR(B37)))))))</f>
        <v>2016</v>
      </c>
      <c r="E3" s="39" t="s">
        <v>45</v>
      </c>
      <c r="F3" s="383">
        <v>2017</v>
      </c>
      <c r="L3" s="595"/>
      <c r="M3" s="595"/>
      <c r="N3" s="595"/>
      <c r="O3" s="595"/>
      <c r="P3" s="595"/>
      <c r="Q3" s="595"/>
      <c r="R3" s="595"/>
      <c r="S3" s="595"/>
    </row>
    <row r="4" spans="2:19" ht="15.75" thickBot="1">
      <c r="B4" s="40" t="s">
        <v>46</v>
      </c>
      <c r="C4" s="386">
        <f ca="1">IF(NOW()&lt;B32,C31,IF(NOW()&lt;B33,C32,IF(NOW()&lt;B34,C33,IF(NOW()&lt;B35,C34,IF(NOW()&lt;B36,C35,IF(NOW()&lt;B37,C36,C37))))))</f>
        <v>9.75</v>
      </c>
      <c r="E4" s="41" t="s">
        <v>49</v>
      </c>
      <c r="F4" s="384">
        <v>1173</v>
      </c>
      <c r="L4" s="595"/>
      <c r="M4" s="595"/>
      <c r="N4" s="595"/>
      <c r="O4" s="595"/>
      <c r="P4" s="595"/>
      <c r="Q4" s="595"/>
      <c r="R4" s="595"/>
      <c r="S4" s="595"/>
    </row>
    <row r="5" spans="2:3" ht="15.75" thickBot="1">
      <c r="B5" s="41" t="s">
        <v>47</v>
      </c>
      <c r="C5" s="385">
        <f>ROUND(C4*40*52/12,2)</f>
        <v>1690</v>
      </c>
    </row>
    <row r="6" spans="2:8" ht="30.75" customHeight="1">
      <c r="B6" s="598" t="s">
        <v>369</v>
      </c>
      <c r="C6" s="598"/>
      <c r="D6" s="598"/>
      <c r="E6" s="598"/>
      <c r="F6" s="598"/>
      <c r="G6" s="598"/>
      <c r="H6" s="598"/>
    </row>
    <row r="7" ht="8.25" customHeight="1"/>
    <row r="8" spans="2:3" ht="15">
      <c r="B8" s="596" t="s">
        <v>245</v>
      </c>
      <c r="C8" s="596"/>
    </row>
    <row r="9" spans="2:8" ht="14.25">
      <c r="B9" s="127" t="s">
        <v>227</v>
      </c>
      <c r="C9" s="125"/>
      <c r="D9" s="125"/>
      <c r="E9" s="125"/>
      <c r="F9" s="125"/>
      <c r="G9" s="125"/>
      <c r="H9" s="126"/>
    </row>
    <row r="10" spans="2:8" ht="14.25">
      <c r="B10" s="128" t="s">
        <v>228</v>
      </c>
      <c r="C10" s="122"/>
      <c r="D10" s="122"/>
      <c r="E10" s="122"/>
      <c r="F10" s="122"/>
      <c r="G10" s="122"/>
      <c r="H10" s="124"/>
    </row>
    <row r="11" spans="2:8" ht="14.25">
      <c r="B11" s="120" t="s">
        <v>229</v>
      </c>
      <c r="C11" s="121"/>
      <c r="D11" s="121"/>
      <c r="E11" s="121"/>
      <c r="F11" s="121"/>
      <c r="G11" s="121"/>
      <c r="H11" s="123"/>
    </row>
    <row r="12" spans="2:8" ht="14.25">
      <c r="B12" s="120" t="s">
        <v>230</v>
      </c>
      <c r="C12" s="121"/>
      <c r="D12" s="121"/>
      <c r="E12" s="121"/>
      <c r="F12" s="121"/>
      <c r="G12" s="121"/>
      <c r="H12" s="123"/>
    </row>
    <row r="13" spans="2:8" ht="14.25">
      <c r="B13" s="120" t="s">
        <v>231</v>
      </c>
      <c r="C13" s="121"/>
      <c r="D13" s="121"/>
      <c r="E13" s="121"/>
      <c r="F13" s="121"/>
      <c r="G13" s="121"/>
      <c r="H13" s="123"/>
    </row>
    <row r="14" spans="2:8" ht="14.25">
      <c r="B14" s="120" t="s">
        <v>232</v>
      </c>
      <c r="C14" s="121"/>
      <c r="D14" s="121"/>
      <c r="E14" s="121"/>
      <c r="F14" s="121"/>
      <c r="G14" s="121"/>
      <c r="H14" s="123"/>
    </row>
    <row r="15" spans="2:8" ht="14.25">
      <c r="B15" s="120" t="s">
        <v>233</v>
      </c>
      <c r="C15" s="121"/>
      <c r="D15" s="121"/>
      <c r="E15" s="121"/>
      <c r="F15" s="121"/>
      <c r="G15" s="121"/>
      <c r="H15" s="123"/>
    </row>
    <row r="16" spans="2:8" ht="14.25">
      <c r="B16" s="120" t="s">
        <v>234</v>
      </c>
      <c r="C16" s="121"/>
      <c r="D16" s="121"/>
      <c r="E16" s="121"/>
      <c r="F16" s="121"/>
      <c r="G16" s="121"/>
      <c r="H16" s="123"/>
    </row>
    <row r="17" spans="2:8" ht="14.25">
      <c r="B17" s="120" t="s">
        <v>235</v>
      </c>
      <c r="C17" s="121"/>
      <c r="D17" s="121"/>
      <c r="E17" s="121"/>
      <c r="F17" s="121"/>
      <c r="G17" s="121"/>
      <c r="H17" s="123"/>
    </row>
    <row r="18" spans="2:8" ht="14.25">
      <c r="B18" s="120" t="s">
        <v>236</v>
      </c>
      <c r="C18" s="121"/>
      <c r="D18" s="121"/>
      <c r="E18" s="121"/>
      <c r="F18" s="121"/>
      <c r="G18" s="121"/>
      <c r="H18" s="123"/>
    </row>
    <row r="19" spans="2:8" ht="14.25">
      <c r="B19" s="120" t="s">
        <v>237</v>
      </c>
      <c r="C19" s="121"/>
      <c r="D19" s="121"/>
      <c r="E19" s="121"/>
      <c r="F19" s="121"/>
      <c r="G19" s="121"/>
      <c r="H19" s="123"/>
    </row>
    <row r="20" spans="2:8" ht="14.25">
      <c r="B20" s="120" t="s">
        <v>238</v>
      </c>
      <c r="C20" s="121"/>
      <c r="D20" s="121"/>
      <c r="E20" s="121"/>
      <c r="F20" s="121"/>
      <c r="G20" s="121"/>
      <c r="H20" s="123"/>
    </row>
    <row r="21" spans="2:8" ht="14.25">
      <c r="B21" s="120" t="s">
        <v>239</v>
      </c>
      <c r="C21" s="121"/>
      <c r="D21" s="121"/>
      <c r="E21" s="121"/>
      <c r="F21" s="121"/>
      <c r="G21" s="121"/>
      <c r="H21" s="123"/>
    </row>
    <row r="22" spans="2:8" ht="14.25">
      <c r="B22" s="120" t="s">
        <v>240</v>
      </c>
      <c r="C22" s="121"/>
      <c r="D22" s="121"/>
      <c r="E22" s="121"/>
      <c r="F22" s="121"/>
      <c r="G22" s="121"/>
      <c r="H22" s="123"/>
    </row>
    <row r="23" spans="2:8" ht="14.25">
      <c r="B23" s="120" t="s">
        <v>241</v>
      </c>
      <c r="C23" s="121"/>
      <c r="D23" s="121"/>
      <c r="E23" s="121"/>
      <c r="F23" s="121"/>
      <c r="G23" s="121"/>
      <c r="H23" s="123"/>
    </row>
    <row r="24" spans="2:8" ht="14.25">
      <c r="B24" s="120" t="s">
        <v>242</v>
      </c>
      <c r="C24" s="121"/>
      <c r="D24" s="121"/>
      <c r="E24" s="121"/>
      <c r="F24" s="121"/>
      <c r="G24" s="121"/>
      <c r="H24" s="123"/>
    </row>
    <row r="25" spans="2:8" ht="14.25">
      <c r="B25" s="120" t="s">
        <v>243</v>
      </c>
      <c r="C25" s="121"/>
      <c r="D25" s="121"/>
      <c r="E25" s="121"/>
      <c r="F25" s="121"/>
      <c r="G25" s="121"/>
      <c r="H25" s="123"/>
    </row>
    <row r="26" spans="2:8" ht="14.25">
      <c r="B26" s="117" t="s">
        <v>244</v>
      </c>
      <c r="C26" s="118"/>
      <c r="D26" s="118"/>
      <c r="E26" s="118"/>
      <c r="F26" s="118"/>
      <c r="G26" s="118"/>
      <c r="H26" s="119"/>
    </row>
    <row r="29" spans="2:8" ht="12.75">
      <c r="B29" s="597"/>
      <c r="C29" s="597"/>
      <c r="D29" s="597"/>
      <c r="E29" s="597"/>
      <c r="F29" s="597"/>
      <c r="G29" s="597"/>
      <c r="H29" s="597"/>
    </row>
    <row r="30" spans="2:8" ht="12.75">
      <c r="B30" s="597"/>
      <c r="C30" s="597"/>
      <c r="D30" s="597"/>
      <c r="E30" s="597"/>
      <c r="F30" s="597"/>
      <c r="G30" s="597"/>
      <c r="H30" s="597"/>
    </row>
    <row r="31" spans="2:8" ht="12.75">
      <c r="B31" s="379">
        <v>42552</v>
      </c>
      <c r="C31" s="381">
        <v>9.75</v>
      </c>
      <c r="D31" s="380"/>
      <c r="E31" s="380"/>
      <c r="F31" s="380"/>
      <c r="G31" s="380"/>
      <c r="H31" s="380"/>
    </row>
    <row r="32" spans="2:8" ht="12.75">
      <c r="B32" s="379">
        <v>42917</v>
      </c>
      <c r="C32" s="381">
        <v>11.25</v>
      </c>
      <c r="D32" s="380"/>
      <c r="E32" s="380"/>
      <c r="F32" s="380"/>
      <c r="G32" s="380"/>
      <c r="H32" s="380"/>
    </row>
    <row r="33" spans="2:8" ht="12.75">
      <c r="B33" s="379">
        <v>43282</v>
      </c>
      <c r="C33" s="381">
        <v>12</v>
      </c>
      <c r="D33" s="380"/>
      <c r="E33" s="380"/>
      <c r="F33" s="380"/>
      <c r="G33" s="380"/>
      <c r="H33" s="380"/>
    </row>
    <row r="34" spans="2:8" ht="12.75">
      <c r="B34" s="379">
        <v>43647</v>
      </c>
      <c r="C34" s="381">
        <v>12.5</v>
      </c>
      <c r="D34" s="380"/>
      <c r="E34" s="380"/>
      <c r="F34" s="380"/>
      <c r="G34" s="380"/>
      <c r="H34" s="380"/>
    </row>
    <row r="35" spans="2:8" ht="12.75">
      <c r="B35" s="379">
        <v>44013</v>
      </c>
      <c r="C35" s="381">
        <v>13.25</v>
      </c>
      <c r="D35" s="380"/>
      <c r="E35" s="380"/>
      <c r="F35" s="380"/>
      <c r="G35" s="380"/>
      <c r="H35" s="380"/>
    </row>
    <row r="36" spans="2:8" ht="12.75">
      <c r="B36" s="379">
        <v>44378</v>
      </c>
      <c r="C36" s="381">
        <v>14</v>
      </c>
      <c r="D36" s="380"/>
      <c r="E36" s="380"/>
      <c r="F36" s="380"/>
      <c r="G36" s="380"/>
      <c r="H36" s="380"/>
    </row>
    <row r="37" spans="2:8" ht="12.75">
      <c r="B37" s="379">
        <v>44743</v>
      </c>
      <c r="C37" s="381">
        <v>14.75</v>
      </c>
      <c r="D37" s="380"/>
      <c r="E37" s="380"/>
      <c r="F37" s="380"/>
      <c r="G37" s="380"/>
      <c r="H37" s="380"/>
    </row>
    <row r="38" ht="12.75">
      <c r="B38" s="377"/>
    </row>
    <row r="39" spans="2:10" ht="12.75" customHeight="1">
      <c r="B39" s="594"/>
      <c r="C39" s="594"/>
      <c r="D39" s="594"/>
      <c r="E39" s="594"/>
      <c r="F39" s="594"/>
      <c r="G39" s="594"/>
      <c r="H39" s="594"/>
      <c r="I39" s="378"/>
      <c r="J39" s="378"/>
    </row>
    <row r="40" spans="2:10" ht="12.75">
      <c r="B40" s="594"/>
      <c r="C40" s="594"/>
      <c r="D40" s="594"/>
      <c r="E40" s="594"/>
      <c r="F40" s="594"/>
      <c r="G40" s="594"/>
      <c r="H40" s="594"/>
      <c r="I40" s="378"/>
      <c r="J40" s="378"/>
    </row>
    <row r="41" spans="2:8" ht="12.75">
      <c r="B41" s="594"/>
      <c r="C41" s="594"/>
      <c r="D41" s="594"/>
      <c r="E41" s="594"/>
      <c r="F41" s="594"/>
      <c r="G41" s="594"/>
      <c r="H41" s="594"/>
    </row>
    <row r="42" spans="2:8" ht="12.75">
      <c r="B42" s="594"/>
      <c r="C42" s="594"/>
      <c r="D42" s="594"/>
      <c r="E42" s="594"/>
      <c r="F42" s="594"/>
      <c r="G42" s="594"/>
      <c r="H42" s="594"/>
    </row>
    <row r="43" spans="2:8" ht="12.75">
      <c r="B43" s="594"/>
      <c r="C43" s="594"/>
      <c r="D43" s="594"/>
      <c r="E43" s="594"/>
      <c r="F43" s="594"/>
      <c r="G43" s="594"/>
      <c r="H43" s="594"/>
    </row>
    <row r="44" spans="2:8" ht="12.75">
      <c r="B44" s="594"/>
      <c r="C44" s="594"/>
      <c r="D44" s="594"/>
      <c r="E44" s="594"/>
      <c r="F44" s="594"/>
      <c r="G44" s="594"/>
      <c r="H44" s="594"/>
    </row>
    <row r="45" spans="2:8" ht="12.75">
      <c r="B45" s="594"/>
      <c r="C45" s="594"/>
      <c r="D45" s="594"/>
      <c r="E45" s="594"/>
      <c r="F45" s="594"/>
      <c r="G45" s="594"/>
      <c r="H45" s="594"/>
    </row>
    <row r="46" spans="2:8" ht="12.75">
      <c r="B46" s="594"/>
      <c r="C46" s="594"/>
      <c r="D46" s="594"/>
      <c r="E46" s="594"/>
      <c r="F46" s="594"/>
      <c r="G46" s="594"/>
      <c r="H46" s="594"/>
    </row>
  </sheetData>
  <sheetProtection password="8AB2" sheet="1" objects="1" scenarios="1"/>
  <mergeCells count="6">
    <mergeCell ref="B43:H46"/>
    <mergeCell ref="L1:S4"/>
    <mergeCell ref="B8:C8"/>
    <mergeCell ref="B29:H30"/>
    <mergeCell ref="B39:H42"/>
    <mergeCell ref="B6:H6"/>
  </mergeCells>
  <hyperlinks>
    <hyperlink ref="B6" r:id="rId1" display="The highest level of the Oregon minimum wage is used for determining the reasonable in cost cap for health care coverage."/>
    <hyperlink ref="E1" r:id="rId2" display="Self-support reserve"/>
  </hyperlinks>
  <printOptions/>
  <pageMargins left="0.75" right="0.75" top="1" bottom="1" header="0.5" footer="0.5"/>
  <pageSetup horizontalDpi="600" verticalDpi="60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Oregon Department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Oregon Guidelines Excel Calculator</dc:title>
  <dc:subject/>
  <dc:creator>Enterprise Application Services</dc:creator>
  <cp:keywords/>
  <dc:description>Guidelines Effective 7/1/2013</dc:description>
  <cp:lastModifiedBy>Alex Bluestone</cp:lastModifiedBy>
  <cp:lastPrinted>2017-02-24T19:49:49Z</cp:lastPrinted>
  <dcterms:created xsi:type="dcterms:W3CDTF">2009-06-01T22:22:08Z</dcterms:created>
  <dcterms:modified xsi:type="dcterms:W3CDTF">2017-05-31T15:34:35Z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pyToStateLib">
    <vt:lpwstr>0</vt:lpwstr>
  </property>
  <property fmtid="{D5CDD505-2E9C-101B-9397-08002B2CF9AE}" pid="4" name="Metadata">
    <vt:lpwstr/>
  </property>
  <property fmtid="{D5CDD505-2E9C-101B-9397-08002B2CF9AE}" pid="5" name="DocumentLocale">
    <vt:lpwstr>en</vt:lpwstr>
  </property>
  <property fmtid="{D5CDD505-2E9C-101B-9397-08002B2CF9AE}" pid="6" name="RoutingRuleDescription">
    <vt:lpwstr>Oregon Guidelines Excel Calculator</vt:lpwstr>
  </property>
  <property fmtid="{D5CDD505-2E9C-101B-9397-08002B2CF9AE}" pid="7" name="RetentionPeriodDate">
    <vt:lpwstr/>
  </property>
</Properties>
</file>